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7"/>
  </bookViews>
  <sheets>
    <sheet name="1-й этап" sheetId="1" r:id="rId1"/>
    <sheet name="2-й этап" sheetId="2" r:id="rId2"/>
    <sheet name="3-й этап" sheetId="3" r:id="rId3"/>
    <sheet name="4-й этап" sheetId="4" r:id="rId4"/>
    <sheet name="5-й этап" sheetId="5" r:id="rId5"/>
    <sheet name="6-й этап" sheetId="6" r:id="rId6"/>
    <sheet name="7-й этап" sheetId="7" r:id="rId7"/>
    <sheet name="8-й этап" sheetId="8" r:id="rId8"/>
    <sheet name="ГФ" sheetId="9" r:id="rId9"/>
  </sheets>
  <definedNames/>
  <calcPr fullCalcOnLoad="1"/>
</workbook>
</file>

<file path=xl/sharedStrings.xml><?xml version="1.0" encoding="utf-8"?>
<sst xmlns="http://schemas.openxmlformats.org/spreadsheetml/2006/main" count="344" uniqueCount="58">
  <si>
    <t>Итоги  квалификаций:</t>
  </si>
  <si>
    <t>№</t>
  </si>
  <si>
    <t>Сумма</t>
  </si>
  <si>
    <t>Девятилов А.</t>
  </si>
  <si>
    <t>Волков В.</t>
  </si>
  <si>
    <t>Хохлов А.</t>
  </si>
  <si>
    <t>Копыльцов К.</t>
  </si>
  <si>
    <t>Копыльцова С.</t>
  </si>
  <si>
    <t>1-й этап</t>
  </si>
  <si>
    <t>Пономарёв Е.</t>
  </si>
  <si>
    <t>Грязин Ю.</t>
  </si>
  <si>
    <t>Поторочин В.</t>
  </si>
  <si>
    <t>Хохлов О.</t>
  </si>
  <si>
    <t>Журавлёв С.</t>
  </si>
  <si>
    <t>Яковкин А.</t>
  </si>
  <si>
    <t>Участник</t>
  </si>
  <si>
    <t>Место</t>
  </si>
  <si>
    <t>Очки</t>
  </si>
  <si>
    <t>Бурашников С.</t>
  </si>
  <si>
    <t>Участники ГФ</t>
  </si>
  <si>
    <t>Гущин А.</t>
  </si>
  <si>
    <t>Спортивный зачёт</t>
  </si>
  <si>
    <t>Петров С.</t>
  </si>
  <si>
    <t>2-й этап</t>
  </si>
  <si>
    <t>1 этап</t>
  </si>
  <si>
    <t>3-й этап</t>
  </si>
  <si>
    <t>1-2 этап</t>
  </si>
  <si>
    <t>Резниченко А.</t>
  </si>
  <si>
    <t>4-й этап</t>
  </si>
  <si>
    <r>
      <t xml:space="preserve">1-3 </t>
    </r>
    <r>
      <rPr>
        <b/>
        <sz val="10"/>
        <color indexed="8"/>
        <rFont val="Calibri"/>
        <family val="2"/>
      </rPr>
      <t>этапы</t>
    </r>
  </si>
  <si>
    <t>5-й этап</t>
  </si>
  <si>
    <r>
      <t xml:space="preserve">1-4 </t>
    </r>
    <r>
      <rPr>
        <b/>
        <sz val="10"/>
        <color indexed="8"/>
        <rFont val="Calibri"/>
        <family val="2"/>
      </rPr>
      <t>этапы</t>
    </r>
  </si>
  <si>
    <t>6-й этап</t>
  </si>
  <si>
    <t>Чистин А.</t>
  </si>
  <si>
    <t>Логашёв А.</t>
  </si>
  <si>
    <t>Кукшинов Р.</t>
  </si>
  <si>
    <t>Сухов В.</t>
  </si>
  <si>
    <r>
      <t xml:space="preserve">1-5 </t>
    </r>
    <r>
      <rPr>
        <b/>
        <sz val="10"/>
        <color indexed="8"/>
        <rFont val="Calibri"/>
        <family val="2"/>
      </rPr>
      <t>этапы</t>
    </r>
  </si>
  <si>
    <t>7-й этап</t>
  </si>
  <si>
    <r>
      <t xml:space="preserve">1-6 </t>
    </r>
    <r>
      <rPr>
        <b/>
        <sz val="10"/>
        <color indexed="8"/>
        <rFont val="Calibri"/>
        <family val="2"/>
      </rPr>
      <t>этапы</t>
    </r>
  </si>
  <si>
    <t>8-й этап</t>
  </si>
  <si>
    <r>
      <t xml:space="preserve">1-7 </t>
    </r>
    <r>
      <rPr>
        <b/>
        <sz val="10"/>
        <color indexed="8"/>
        <rFont val="Calibri"/>
        <family val="2"/>
      </rPr>
      <t>этапы</t>
    </r>
  </si>
  <si>
    <t>Бонус</t>
  </si>
  <si>
    <t>Сумма СГФ</t>
  </si>
  <si>
    <t>Сумма 1-8</t>
  </si>
  <si>
    <t xml:space="preserve">Бонус </t>
  </si>
  <si>
    <t>Очки РР</t>
  </si>
  <si>
    <t>Лига Мастеров 2016</t>
  </si>
  <si>
    <t>Гренкевич М.</t>
  </si>
  <si>
    <t>Мнацаканов М.</t>
  </si>
  <si>
    <t>Киселёв В.</t>
  </si>
  <si>
    <t>Лозюк С.</t>
  </si>
  <si>
    <t>Пакулин Е.</t>
  </si>
  <si>
    <t>Старков А.</t>
  </si>
  <si>
    <t>Носов Ю.</t>
  </si>
  <si>
    <t>Ефремов О.</t>
  </si>
  <si>
    <t>Пражак Н.</t>
  </si>
  <si>
    <t>Мнацаканова Е.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</si>
</sst>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d\ mmm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177" fontId="0" fillId="0" borderId="20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52" fillId="0" borderId="21" xfId="0" applyNumberFormat="1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16" fontId="52" fillId="0" borderId="25" xfId="0" applyNumberFormat="1" applyFont="1" applyBorder="1" applyAlignment="1">
      <alignment horizontal="center"/>
    </xf>
    <xf numFmtId="16" fontId="52" fillId="0" borderId="26" xfId="0" applyNumberFormat="1" applyFont="1" applyBorder="1" applyAlignment="1">
      <alignment horizontal="center"/>
    </xf>
    <xf numFmtId="16" fontId="52" fillId="0" borderId="22" xfId="0" applyNumberFormat="1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1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0" fontId="52" fillId="0" borderId="43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2" fillId="0" borderId="45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30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49" fillId="0" borderId="47" xfId="0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50" fillId="0" borderId="0" xfId="0" applyFont="1" applyAlignment="1">
      <alignment/>
    </xf>
    <xf numFmtId="0" fontId="49" fillId="0" borderId="23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49" fillId="0" borderId="52" xfId="0" applyFont="1" applyBorder="1" applyAlignment="1">
      <alignment horizont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177" fontId="0" fillId="0" borderId="20" xfId="0" applyNumberFormat="1" applyBorder="1" applyAlignment="1">
      <alignment vertical="center"/>
    </xf>
    <xf numFmtId="177" fontId="52" fillId="0" borderId="21" xfId="0" applyNumberFormat="1" applyFont="1" applyBorder="1" applyAlignment="1">
      <alignment horizontal="center" vertical="center"/>
    </xf>
    <xf numFmtId="177" fontId="0" fillId="0" borderId="22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16" fontId="52" fillId="0" borderId="25" xfId="0" applyNumberFormat="1" applyFont="1" applyBorder="1" applyAlignment="1">
      <alignment horizontal="center" vertical="center"/>
    </xf>
    <xf numFmtId="16" fontId="52" fillId="0" borderId="26" xfId="0" applyNumberFormat="1" applyFont="1" applyBorder="1" applyAlignment="1">
      <alignment horizontal="center" vertical="center"/>
    </xf>
    <xf numFmtId="16" fontId="52" fillId="0" borderId="22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5">
      <selection activeCell="K12" sqref="K12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7109375" style="0" customWidth="1"/>
    <col min="4" max="4" width="8.7109375" style="42" customWidth="1"/>
    <col min="5" max="6" width="8.7109375" style="0" customWidth="1"/>
    <col min="7" max="7" width="8.7109375" style="42" customWidth="1"/>
    <col min="8" max="11" width="8.7109375" style="0" customWidth="1"/>
    <col min="12" max="12" width="9.140625" style="106" customWidth="1"/>
  </cols>
  <sheetData>
    <row r="1" spans="1:12" ht="23.25">
      <c r="A1" s="183" t="s">
        <v>47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s="18" customFormat="1" ht="18.75">
      <c r="A2" s="185" t="s">
        <v>21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21.75" customHeight="1">
      <c r="A3" s="186" t="s">
        <v>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21.75" customHeight="1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21.75" customHeight="1" thickBot="1">
      <c r="A5" s="19"/>
      <c r="B5" s="19"/>
      <c r="C5" s="19"/>
      <c r="D5" s="90"/>
      <c r="E5" s="19"/>
      <c r="F5" s="19"/>
      <c r="G5" s="39"/>
      <c r="H5" s="19"/>
      <c r="I5" s="19"/>
      <c r="J5" s="19"/>
      <c r="K5" s="19"/>
      <c r="L5" s="91"/>
    </row>
    <row r="6" spans="3:11" ht="21.75" customHeight="1" thickBot="1">
      <c r="C6" s="24"/>
      <c r="D6" s="27">
        <v>42382</v>
      </c>
      <c r="E6" s="26"/>
      <c r="F6" s="24"/>
      <c r="G6" s="27">
        <v>42389</v>
      </c>
      <c r="H6" s="26"/>
      <c r="I6" s="25"/>
      <c r="J6" s="27">
        <v>42396</v>
      </c>
      <c r="K6" s="26"/>
    </row>
    <row r="7" spans="1:12" s="3" customFormat="1" ht="21.75" customHeight="1" thickBot="1">
      <c r="A7" s="2" t="s">
        <v>1</v>
      </c>
      <c r="B7" s="2" t="s">
        <v>15</v>
      </c>
      <c r="C7" s="30" t="s">
        <v>2</v>
      </c>
      <c r="D7" s="31" t="s">
        <v>16</v>
      </c>
      <c r="E7" s="32" t="s">
        <v>17</v>
      </c>
      <c r="F7" s="30" t="s">
        <v>2</v>
      </c>
      <c r="G7" s="31" t="s">
        <v>16</v>
      </c>
      <c r="H7" s="32" t="s">
        <v>17</v>
      </c>
      <c r="I7" s="30" t="s">
        <v>2</v>
      </c>
      <c r="J7" s="31" t="s">
        <v>16</v>
      </c>
      <c r="K7" s="32" t="s">
        <v>17</v>
      </c>
      <c r="L7" s="107" t="s">
        <v>2</v>
      </c>
    </row>
    <row r="8" spans="1:13" ht="21.75" customHeight="1">
      <c r="A8" s="4">
        <v>1</v>
      </c>
      <c r="B8" s="10" t="s">
        <v>5</v>
      </c>
      <c r="C8" s="36">
        <f>232+212+207+172+268+194</f>
        <v>1285</v>
      </c>
      <c r="D8" s="33">
        <v>1</v>
      </c>
      <c r="E8" s="102">
        <v>19</v>
      </c>
      <c r="F8" s="36">
        <f>186+206+198+183+215+217</f>
        <v>1205</v>
      </c>
      <c r="G8" s="33">
        <v>3</v>
      </c>
      <c r="H8" s="102">
        <v>13</v>
      </c>
      <c r="I8" s="11">
        <f>170+185+236+232+205+238</f>
        <v>1266</v>
      </c>
      <c r="J8" s="48">
        <v>1</v>
      </c>
      <c r="K8" s="52">
        <v>18</v>
      </c>
      <c r="L8" s="10">
        <f aca="true" t="shared" si="0" ref="L8:L27">E8+H8+K8</f>
        <v>50</v>
      </c>
      <c r="M8" s="9"/>
    </row>
    <row r="9" spans="1:13" ht="21.75" customHeight="1">
      <c r="A9" s="5">
        <v>2</v>
      </c>
      <c r="B9" s="12" t="s">
        <v>3</v>
      </c>
      <c r="C9" s="37">
        <f>192+191+267+267+149+211</f>
        <v>1277</v>
      </c>
      <c r="D9" s="34">
        <v>2</v>
      </c>
      <c r="E9" s="103">
        <v>16</v>
      </c>
      <c r="F9" s="37">
        <f>213+211+189+213+237+232</f>
        <v>1295</v>
      </c>
      <c r="G9" s="34">
        <v>1</v>
      </c>
      <c r="H9" s="103">
        <v>18</v>
      </c>
      <c r="I9" s="13">
        <f>194+180+175+185+222+197</f>
        <v>1153</v>
      </c>
      <c r="J9" s="49">
        <v>3</v>
      </c>
      <c r="K9" s="53">
        <v>13</v>
      </c>
      <c r="L9" s="12">
        <f t="shared" si="0"/>
        <v>47</v>
      </c>
      <c r="M9" s="9"/>
    </row>
    <row r="10" spans="1:13" ht="21.75" customHeight="1">
      <c r="A10" s="5">
        <v>3</v>
      </c>
      <c r="B10" s="12" t="s">
        <v>10</v>
      </c>
      <c r="C10" s="37">
        <f>166+175+173+166+202+179</f>
        <v>1061</v>
      </c>
      <c r="D10" s="34">
        <v>8</v>
      </c>
      <c r="E10" s="103">
        <v>9</v>
      </c>
      <c r="F10" s="37">
        <f>242+180+199+221+162+228</f>
        <v>1232</v>
      </c>
      <c r="G10" s="34">
        <v>2</v>
      </c>
      <c r="H10" s="103">
        <v>15</v>
      </c>
      <c r="I10" s="13">
        <f>173+175+153+195+192+187</f>
        <v>1075</v>
      </c>
      <c r="J10" s="49">
        <v>5</v>
      </c>
      <c r="K10" s="53">
        <v>11</v>
      </c>
      <c r="L10" s="12">
        <f t="shared" si="0"/>
        <v>35</v>
      </c>
      <c r="M10" s="9"/>
    </row>
    <row r="11" spans="1:13" ht="21.75" customHeight="1">
      <c r="A11" s="5">
        <v>4</v>
      </c>
      <c r="B11" s="12" t="s">
        <v>14</v>
      </c>
      <c r="C11" s="37">
        <f>176+199+182+167+175+172</f>
        <v>1071</v>
      </c>
      <c r="D11" s="34">
        <v>7</v>
      </c>
      <c r="E11" s="103">
        <v>10</v>
      </c>
      <c r="F11" s="37">
        <f>214+174+173+215+135+234</f>
        <v>1145</v>
      </c>
      <c r="G11" s="34">
        <v>7</v>
      </c>
      <c r="H11" s="103">
        <v>9</v>
      </c>
      <c r="I11" s="13">
        <f>169+191+192+204+205+219</f>
        <v>1180</v>
      </c>
      <c r="J11" s="49">
        <v>2</v>
      </c>
      <c r="K11" s="53">
        <v>15</v>
      </c>
      <c r="L11" s="12">
        <f t="shared" si="0"/>
        <v>34</v>
      </c>
      <c r="M11" s="9"/>
    </row>
    <row r="12" spans="1:13" ht="21.75" customHeight="1">
      <c r="A12" s="5">
        <v>5</v>
      </c>
      <c r="B12" s="12" t="s">
        <v>27</v>
      </c>
      <c r="C12" s="37">
        <f>215+166+237+180+159+186</f>
        <v>1143</v>
      </c>
      <c r="D12" s="34">
        <v>4</v>
      </c>
      <c r="E12" s="103">
        <v>13</v>
      </c>
      <c r="F12" s="37">
        <f>181+214+201+195+189+210</f>
        <v>1190</v>
      </c>
      <c r="G12" s="34">
        <v>4</v>
      </c>
      <c r="H12" s="103">
        <v>12</v>
      </c>
      <c r="I12" s="13">
        <f>168+138+205+179+148+200</f>
        <v>1038</v>
      </c>
      <c r="J12" s="49">
        <v>7</v>
      </c>
      <c r="K12" s="53">
        <v>9</v>
      </c>
      <c r="L12" s="12">
        <f t="shared" si="0"/>
        <v>34</v>
      </c>
      <c r="M12" s="9"/>
    </row>
    <row r="13" spans="1:13" ht="21.75" customHeight="1">
      <c r="A13" s="5">
        <v>6</v>
      </c>
      <c r="B13" s="12" t="s">
        <v>22</v>
      </c>
      <c r="C13" s="37">
        <f>181+183+175+204+198+150</f>
        <v>1091</v>
      </c>
      <c r="D13" s="34">
        <v>5</v>
      </c>
      <c r="E13" s="103">
        <v>12</v>
      </c>
      <c r="F13" s="37">
        <f>224+163+214+235+191+136</f>
        <v>1163</v>
      </c>
      <c r="G13" s="34">
        <v>6</v>
      </c>
      <c r="H13" s="103">
        <v>10</v>
      </c>
      <c r="I13" s="13">
        <f>127+191+190+194+148+223</f>
        <v>1073</v>
      </c>
      <c r="J13" s="49">
        <v>6</v>
      </c>
      <c r="K13" s="53">
        <v>10</v>
      </c>
      <c r="L13" s="12">
        <f t="shared" si="0"/>
        <v>32</v>
      </c>
      <c r="M13" s="9"/>
    </row>
    <row r="14" spans="1:13" ht="21.75" customHeight="1">
      <c r="A14" s="5">
        <v>7</v>
      </c>
      <c r="B14" s="12" t="s">
        <v>33</v>
      </c>
      <c r="C14" s="37">
        <f>179+196+167+198+245+173</f>
        <v>1158</v>
      </c>
      <c r="D14" s="34">
        <v>3</v>
      </c>
      <c r="E14" s="103">
        <v>14</v>
      </c>
      <c r="F14" s="37">
        <f>212+159+236+224+142+217</f>
        <v>1190</v>
      </c>
      <c r="G14" s="34">
        <v>5</v>
      </c>
      <c r="H14" s="103">
        <v>11</v>
      </c>
      <c r="I14" s="13"/>
      <c r="J14" s="49"/>
      <c r="K14" s="53"/>
      <c r="L14" s="12">
        <f t="shared" si="0"/>
        <v>25</v>
      </c>
      <c r="M14" s="9"/>
    </row>
    <row r="15" spans="1:13" ht="21.75" customHeight="1">
      <c r="A15" s="5">
        <v>8</v>
      </c>
      <c r="B15" s="12" t="s">
        <v>20</v>
      </c>
      <c r="C15" s="37">
        <f>202+155+158+220+167+129</f>
        <v>1031</v>
      </c>
      <c r="D15" s="34">
        <v>10</v>
      </c>
      <c r="E15" s="103">
        <v>7</v>
      </c>
      <c r="F15" s="37">
        <f>202+190+173+187+190+184</f>
        <v>1126</v>
      </c>
      <c r="G15" s="34">
        <v>8</v>
      </c>
      <c r="H15" s="103">
        <v>8</v>
      </c>
      <c r="I15" s="13">
        <f>143+147+178+201+159+203</f>
        <v>1031</v>
      </c>
      <c r="J15" s="49">
        <v>8</v>
      </c>
      <c r="K15" s="53">
        <v>8</v>
      </c>
      <c r="L15" s="12">
        <f t="shared" si="0"/>
        <v>23</v>
      </c>
      <c r="M15" s="9"/>
    </row>
    <row r="16" spans="1:12" ht="21.75" customHeight="1">
      <c r="A16" s="5">
        <v>9</v>
      </c>
      <c r="B16" s="12" t="s">
        <v>12</v>
      </c>
      <c r="C16" s="37">
        <f>159+190+166+174+174+164</f>
        <v>1027</v>
      </c>
      <c r="D16" s="34">
        <v>11</v>
      </c>
      <c r="E16" s="103">
        <v>6</v>
      </c>
      <c r="F16" s="37"/>
      <c r="G16" s="34"/>
      <c r="H16" s="103"/>
      <c r="I16" s="13">
        <f>188+126+181+224+185+204</f>
        <v>1108</v>
      </c>
      <c r="J16" s="49">
        <v>4</v>
      </c>
      <c r="K16" s="53">
        <v>12</v>
      </c>
      <c r="L16" s="12">
        <f t="shared" si="0"/>
        <v>18</v>
      </c>
    </row>
    <row r="17" spans="1:12" ht="21.75" customHeight="1">
      <c r="A17" s="5">
        <v>10</v>
      </c>
      <c r="B17" s="12" t="s">
        <v>49</v>
      </c>
      <c r="C17" s="37">
        <f>171+172+184+175+194+192</f>
        <v>1088</v>
      </c>
      <c r="D17" s="34">
        <v>6</v>
      </c>
      <c r="E17" s="103">
        <v>11</v>
      </c>
      <c r="F17" s="37"/>
      <c r="G17" s="34"/>
      <c r="H17" s="103"/>
      <c r="I17" s="13">
        <f>107+177+154+171+211+196</f>
        <v>1016</v>
      </c>
      <c r="J17" s="49">
        <v>9</v>
      </c>
      <c r="K17" s="53">
        <v>7</v>
      </c>
      <c r="L17" s="12">
        <f t="shared" si="0"/>
        <v>18</v>
      </c>
    </row>
    <row r="18" spans="1:12" ht="21.75" customHeight="1">
      <c r="A18" s="4">
        <v>11</v>
      </c>
      <c r="B18" s="12" t="s">
        <v>50</v>
      </c>
      <c r="C18" s="38">
        <f>152+180+183+151+171+196</f>
        <v>1033</v>
      </c>
      <c r="D18" s="35">
        <v>9</v>
      </c>
      <c r="E18" s="104">
        <v>8</v>
      </c>
      <c r="F18" s="38">
        <f>170+134+134+163+190+172</f>
        <v>963</v>
      </c>
      <c r="G18" s="35">
        <v>13</v>
      </c>
      <c r="H18" s="104">
        <v>3</v>
      </c>
      <c r="I18" s="14">
        <f>174+180+215+166+116+157</f>
        <v>1008</v>
      </c>
      <c r="J18" s="50">
        <v>11</v>
      </c>
      <c r="K18" s="54">
        <v>5</v>
      </c>
      <c r="L18" s="12">
        <f t="shared" si="0"/>
        <v>16</v>
      </c>
    </row>
    <row r="19" spans="1:12" ht="21.75" customHeight="1">
      <c r="A19" s="5">
        <v>12</v>
      </c>
      <c r="B19" s="12" t="s">
        <v>18</v>
      </c>
      <c r="C19" s="38">
        <f>174+181+147+158+146+201</f>
        <v>1007</v>
      </c>
      <c r="D19" s="35">
        <v>12</v>
      </c>
      <c r="E19" s="104">
        <v>5</v>
      </c>
      <c r="F19" s="38">
        <f>187+150+132+170+188+194</f>
        <v>1021</v>
      </c>
      <c r="G19" s="35">
        <v>11</v>
      </c>
      <c r="H19" s="104">
        <v>5</v>
      </c>
      <c r="I19" s="14">
        <f>171+196+139+193+161+150</f>
        <v>1010</v>
      </c>
      <c r="J19" s="50">
        <v>10</v>
      </c>
      <c r="K19" s="54">
        <v>6</v>
      </c>
      <c r="L19" s="12">
        <f t="shared" si="0"/>
        <v>16</v>
      </c>
    </row>
    <row r="20" spans="1:12" ht="21.75" customHeight="1">
      <c r="A20" s="5">
        <v>13</v>
      </c>
      <c r="B20" s="12" t="s">
        <v>34</v>
      </c>
      <c r="C20" s="38">
        <f>177+167+114+169+200+133</f>
        <v>960</v>
      </c>
      <c r="D20" s="35">
        <v>14</v>
      </c>
      <c r="E20" s="104">
        <v>3</v>
      </c>
      <c r="F20" s="38">
        <f>157+188+189+164+169+206</f>
        <v>1073</v>
      </c>
      <c r="G20" s="35">
        <v>10</v>
      </c>
      <c r="H20" s="104">
        <v>6</v>
      </c>
      <c r="I20" s="14">
        <f>200+151+150+164+144+174</f>
        <v>983</v>
      </c>
      <c r="J20" s="50">
        <v>12</v>
      </c>
      <c r="K20" s="54">
        <v>4</v>
      </c>
      <c r="L20" s="12">
        <f t="shared" si="0"/>
        <v>13</v>
      </c>
    </row>
    <row r="21" spans="1:12" ht="21.75" customHeight="1">
      <c r="A21" s="5">
        <v>14</v>
      </c>
      <c r="B21" s="12" t="s">
        <v>6</v>
      </c>
      <c r="C21" s="38"/>
      <c r="D21" s="35"/>
      <c r="E21" s="104"/>
      <c r="F21" s="38">
        <f>146+209+185+168+203+182</f>
        <v>1093</v>
      </c>
      <c r="G21" s="35">
        <v>9</v>
      </c>
      <c r="H21" s="104">
        <v>7</v>
      </c>
      <c r="I21" s="14"/>
      <c r="J21" s="50"/>
      <c r="K21" s="54"/>
      <c r="L21" s="12">
        <f t="shared" si="0"/>
        <v>7</v>
      </c>
    </row>
    <row r="22" spans="1:12" ht="21.75" customHeight="1">
      <c r="A22" s="5">
        <v>15</v>
      </c>
      <c r="B22" s="12" t="s">
        <v>13</v>
      </c>
      <c r="C22" s="38">
        <f>147+166+156+134+168+194</f>
        <v>965</v>
      </c>
      <c r="D22" s="35">
        <v>13</v>
      </c>
      <c r="E22" s="104">
        <v>4</v>
      </c>
      <c r="F22" s="38"/>
      <c r="G22" s="35"/>
      <c r="H22" s="104"/>
      <c r="I22" s="14">
        <f>144+136+164+128+149+173</f>
        <v>894</v>
      </c>
      <c r="J22" s="50">
        <v>14</v>
      </c>
      <c r="K22" s="54">
        <v>2</v>
      </c>
      <c r="L22" s="12">
        <f t="shared" si="0"/>
        <v>6</v>
      </c>
    </row>
    <row r="23" spans="1:12" ht="21.75" customHeight="1">
      <c r="A23" s="5">
        <v>16</v>
      </c>
      <c r="B23" s="12" t="s">
        <v>48</v>
      </c>
      <c r="C23" s="38">
        <f>111+159+156+178+154+146</f>
        <v>904</v>
      </c>
      <c r="D23" s="35">
        <v>15</v>
      </c>
      <c r="E23" s="104">
        <v>2</v>
      </c>
      <c r="F23" s="38">
        <f>126+166+169+152+147+202</f>
        <v>962</v>
      </c>
      <c r="G23" s="35">
        <v>14</v>
      </c>
      <c r="H23" s="104">
        <v>2</v>
      </c>
      <c r="I23" s="14"/>
      <c r="J23" s="50"/>
      <c r="K23" s="54"/>
      <c r="L23" s="12">
        <f t="shared" si="0"/>
        <v>4</v>
      </c>
    </row>
    <row r="24" spans="1:12" ht="21">
      <c r="A24" s="6">
        <v>17</v>
      </c>
      <c r="B24" s="12" t="s">
        <v>7</v>
      </c>
      <c r="C24" s="38"/>
      <c r="D24" s="35"/>
      <c r="E24" s="104"/>
      <c r="F24" s="38">
        <f>48+157+164+162+119+154+169</f>
        <v>973</v>
      </c>
      <c r="G24" s="35">
        <v>12</v>
      </c>
      <c r="H24" s="104">
        <v>4</v>
      </c>
      <c r="I24" s="14"/>
      <c r="J24" s="50"/>
      <c r="K24" s="54"/>
      <c r="L24" s="12">
        <f t="shared" si="0"/>
        <v>4</v>
      </c>
    </row>
    <row r="25" spans="1:12" ht="21">
      <c r="A25" s="6">
        <v>18</v>
      </c>
      <c r="B25" s="15" t="s">
        <v>35</v>
      </c>
      <c r="C25" s="38">
        <f>154+139+118+127+159+112</f>
        <v>809</v>
      </c>
      <c r="D25" s="35">
        <v>16</v>
      </c>
      <c r="E25" s="104">
        <v>1</v>
      </c>
      <c r="F25" s="38">
        <f>142+160+143+158+134+192</f>
        <v>929</v>
      </c>
      <c r="G25" s="35">
        <v>15</v>
      </c>
      <c r="H25" s="104">
        <v>1</v>
      </c>
      <c r="I25" s="14">
        <f>144+150+143+106+145+164</f>
        <v>852</v>
      </c>
      <c r="J25" s="50">
        <v>15</v>
      </c>
      <c r="K25" s="54">
        <v>1</v>
      </c>
      <c r="L25" s="12">
        <f t="shared" si="0"/>
        <v>3</v>
      </c>
    </row>
    <row r="26" spans="1:12" ht="21">
      <c r="A26" s="6">
        <v>19</v>
      </c>
      <c r="B26" s="15" t="s">
        <v>36</v>
      </c>
      <c r="C26" s="38"/>
      <c r="D26" s="35"/>
      <c r="E26" s="104"/>
      <c r="F26" s="38"/>
      <c r="G26" s="35"/>
      <c r="H26" s="104"/>
      <c r="I26" s="14">
        <f>139+125+149+179+180+155</f>
        <v>927</v>
      </c>
      <c r="J26" s="50">
        <v>13</v>
      </c>
      <c r="K26" s="54">
        <v>3</v>
      </c>
      <c r="L26" s="12">
        <f t="shared" si="0"/>
        <v>3</v>
      </c>
    </row>
    <row r="27" spans="1:12" ht="21.75" thickBot="1">
      <c r="A27" s="7">
        <v>20</v>
      </c>
      <c r="B27" s="16"/>
      <c r="C27" s="43"/>
      <c r="D27" s="40"/>
      <c r="E27" s="105"/>
      <c r="F27" s="43"/>
      <c r="G27" s="40"/>
      <c r="H27" s="56"/>
      <c r="I27" s="17"/>
      <c r="J27" s="51"/>
      <c r="K27" s="55"/>
      <c r="L27" s="16">
        <f t="shared" si="0"/>
        <v>0</v>
      </c>
    </row>
    <row r="28" spans="2:9" ht="21">
      <c r="B28" s="8"/>
      <c r="C28" s="9"/>
      <c r="D28" s="41"/>
      <c r="E28" s="9"/>
      <c r="F28" s="9"/>
      <c r="G28" s="41"/>
      <c r="H28" s="9"/>
      <c r="I28" s="9"/>
    </row>
  </sheetData>
  <sheetProtection/>
  <mergeCells count="4">
    <mergeCell ref="A1:L1"/>
    <mergeCell ref="A4:L4"/>
    <mergeCell ref="A2:L2"/>
    <mergeCell ref="A3:L3"/>
  </mergeCells>
  <printOptions/>
  <pageMargins left="0.9055118110236221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zoomScalePageLayoutView="0" workbookViewId="0" topLeftCell="A1">
      <selection activeCell="F20" sqref="F20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7" width="8.7109375" style="0" customWidth="1"/>
    <col min="8" max="8" width="8.7109375" style="42" customWidth="1"/>
    <col min="9" max="12" width="8.7109375" style="0" customWidth="1"/>
  </cols>
  <sheetData>
    <row r="1" spans="1:13" ht="23.25">
      <c r="A1" s="183" t="s">
        <v>47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s="18" customFormat="1" ht="18.75">
      <c r="A2" s="185" t="s">
        <v>21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21.75" customHeight="1">
      <c r="A3" s="186" t="s">
        <v>23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3" ht="21.75" customHeight="1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21.75" customHeight="1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4:12" ht="21.75" customHeight="1" thickBot="1">
      <c r="D6" s="24"/>
      <c r="E6" s="27">
        <v>42410</v>
      </c>
      <c r="F6" s="26"/>
      <c r="G6" s="24"/>
      <c r="H6" s="27">
        <v>42417</v>
      </c>
      <c r="I6" s="26"/>
      <c r="J6" s="25"/>
      <c r="K6" s="27">
        <v>42424</v>
      </c>
      <c r="L6" s="26"/>
    </row>
    <row r="7" spans="1:13" s="3" customFormat="1" ht="21.75" customHeight="1" thickBot="1">
      <c r="A7" s="2" t="s">
        <v>1</v>
      </c>
      <c r="B7" s="2" t="s">
        <v>15</v>
      </c>
      <c r="C7" s="57" t="s">
        <v>24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28" t="s">
        <v>2</v>
      </c>
    </row>
    <row r="8" spans="1:14" ht="21.75" customHeight="1">
      <c r="A8" s="4">
        <v>1</v>
      </c>
      <c r="B8" s="10" t="s">
        <v>5</v>
      </c>
      <c r="C8" s="58">
        <v>50</v>
      </c>
      <c r="D8" s="36">
        <f>228+203+191+179+237+256</f>
        <v>1294</v>
      </c>
      <c r="E8" s="33">
        <v>1</v>
      </c>
      <c r="F8" s="44">
        <v>21</v>
      </c>
      <c r="G8" s="36">
        <f>209+179+186+216+170+214</f>
        <v>1174</v>
      </c>
      <c r="H8" s="33">
        <v>2</v>
      </c>
      <c r="I8" s="44">
        <v>15</v>
      </c>
      <c r="J8" s="11">
        <f>162+188+148+148+186+216</f>
        <v>1048</v>
      </c>
      <c r="K8" s="48">
        <v>8</v>
      </c>
      <c r="L8" s="52">
        <v>8</v>
      </c>
      <c r="M8" s="10">
        <f aca="true" t="shared" si="0" ref="M8:M27">F8+I8+L8+C8</f>
        <v>94</v>
      </c>
      <c r="N8" s="9"/>
    </row>
    <row r="9" spans="1:14" ht="21.75" customHeight="1">
      <c r="A9" s="5">
        <v>2</v>
      </c>
      <c r="B9" s="12" t="s">
        <v>3</v>
      </c>
      <c r="C9" s="59">
        <v>47</v>
      </c>
      <c r="D9" s="37">
        <f>192+224+168+205+226+194</f>
        <v>1209</v>
      </c>
      <c r="E9" s="34">
        <v>2</v>
      </c>
      <c r="F9" s="45">
        <v>18</v>
      </c>
      <c r="G9" s="37">
        <f>184+160+166+200+220+213</f>
        <v>1143</v>
      </c>
      <c r="H9" s="34">
        <v>4</v>
      </c>
      <c r="I9" s="45">
        <v>12</v>
      </c>
      <c r="J9" s="13">
        <f>181+231+170+159+193+197</f>
        <v>1131</v>
      </c>
      <c r="K9" s="49">
        <v>2</v>
      </c>
      <c r="L9" s="53">
        <v>15</v>
      </c>
      <c r="M9" s="12">
        <f t="shared" si="0"/>
        <v>92</v>
      </c>
      <c r="N9" s="9"/>
    </row>
    <row r="10" spans="1:14" ht="21.75" customHeight="1">
      <c r="A10" s="5">
        <v>3</v>
      </c>
      <c r="B10" s="12" t="s">
        <v>22</v>
      </c>
      <c r="C10" s="59">
        <v>32</v>
      </c>
      <c r="D10" s="37">
        <f>159+183+202+180+233+147</f>
        <v>1104</v>
      </c>
      <c r="E10" s="34">
        <v>3</v>
      </c>
      <c r="F10" s="45">
        <v>16</v>
      </c>
      <c r="G10" s="37">
        <f>210+158+242+201+220+179</f>
        <v>1210</v>
      </c>
      <c r="H10" s="34">
        <v>1</v>
      </c>
      <c r="I10" s="45">
        <v>18</v>
      </c>
      <c r="J10" s="13">
        <f>178+176+168+190+170+179</f>
        <v>1061</v>
      </c>
      <c r="K10" s="49">
        <v>5</v>
      </c>
      <c r="L10" s="53">
        <v>11</v>
      </c>
      <c r="M10" s="12">
        <f t="shared" si="0"/>
        <v>77</v>
      </c>
      <c r="N10" s="9"/>
    </row>
    <row r="11" spans="1:14" ht="21.75" customHeight="1">
      <c r="A11" s="5">
        <v>4</v>
      </c>
      <c r="B11" s="12" t="s">
        <v>10</v>
      </c>
      <c r="C11" s="59">
        <v>35</v>
      </c>
      <c r="D11" s="37">
        <f>184+177+186+215+149+164</f>
        <v>1075</v>
      </c>
      <c r="E11" s="34">
        <v>8</v>
      </c>
      <c r="F11" s="45">
        <v>11</v>
      </c>
      <c r="G11" s="37">
        <f>189+180+160+200+192+168</f>
        <v>1089</v>
      </c>
      <c r="H11" s="34">
        <v>6</v>
      </c>
      <c r="I11" s="45">
        <v>10</v>
      </c>
      <c r="J11" s="13">
        <f>180+214+203+211+227+193</f>
        <v>1228</v>
      </c>
      <c r="K11" s="49">
        <v>1</v>
      </c>
      <c r="L11" s="53">
        <v>18</v>
      </c>
      <c r="M11" s="12">
        <f t="shared" si="0"/>
        <v>74</v>
      </c>
      <c r="N11" s="9"/>
    </row>
    <row r="12" spans="1:14" ht="21.75" customHeight="1">
      <c r="A12" s="5">
        <v>5</v>
      </c>
      <c r="B12" s="12" t="s">
        <v>14</v>
      </c>
      <c r="C12" s="59">
        <v>34</v>
      </c>
      <c r="D12" s="37">
        <f>194+152+162+175+129+201</f>
        <v>1013</v>
      </c>
      <c r="E12" s="34">
        <v>11</v>
      </c>
      <c r="F12" s="45">
        <v>8</v>
      </c>
      <c r="G12" s="37">
        <f>170+171+175+241+186+214</f>
        <v>1157</v>
      </c>
      <c r="H12" s="34">
        <v>3</v>
      </c>
      <c r="I12" s="45">
        <v>13</v>
      </c>
      <c r="J12" s="13">
        <f>208+164+153+169+162+189</f>
        <v>1045</v>
      </c>
      <c r="K12" s="49">
        <v>9</v>
      </c>
      <c r="L12" s="53">
        <v>7</v>
      </c>
      <c r="M12" s="12">
        <f t="shared" si="0"/>
        <v>62</v>
      </c>
      <c r="N12" s="9"/>
    </row>
    <row r="13" spans="1:14" ht="21.75" customHeight="1">
      <c r="A13" s="5">
        <v>6</v>
      </c>
      <c r="B13" s="12" t="s">
        <v>27</v>
      </c>
      <c r="C13" s="59">
        <v>34</v>
      </c>
      <c r="D13" s="37">
        <f>187+140+165+215+185+194</f>
        <v>1086</v>
      </c>
      <c r="E13" s="34">
        <v>6</v>
      </c>
      <c r="F13" s="45">
        <v>13</v>
      </c>
      <c r="G13" s="37"/>
      <c r="H13" s="34"/>
      <c r="I13" s="45"/>
      <c r="J13" s="13">
        <f>223+144+188+177+190+167</f>
        <v>1089</v>
      </c>
      <c r="K13" s="49">
        <v>3</v>
      </c>
      <c r="L13" s="53">
        <v>13</v>
      </c>
      <c r="M13" s="12">
        <f t="shared" si="0"/>
        <v>60</v>
      </c>
      <c r="N13" s="9"/>
    </row>
    <row r="14" spans="1:14" ht="21.75" customHeight="1">
      <c r="A14" s="5">
        <v>7</v>
      </c>
      <c r="B14" s="12" t="s">
        <v>33</v>
      </c>
      <c r="C14" s="59">
        <v>25</v>
      </c>
      <c r="D14" s="37">
        <f>192+177+166+176+198+194</f>
        <v>1103</v>
      </c>
      <c r="E14" s="34">
        <v>4</v>
      </c>
      <c r="F14" s="45">
        <v>15</v>
      </c>
      <c r="G14" s="37">
        <f>201+194+156+183+170+183</f>
        <v>1087</v>
      </c>
      <c r="H14" s="34">
        <v>7</v>
      </c>
      <c r="I14" s="45">
        <v>9</v>
      </c>
      <c r="J14" s="13">
        <f>162+213+198+165+148+174</f>
        <v>1060</v>
      </c>
      <c r="K14" s="49">
        <v>6</v>
      </c>
      <c r="L14" s="53">
        <v>10</v>
      </c>
      <c r="M14" s="12">
        <f t="shared" si="0"/>
        <v>59</v>
      </c>
      <c r="N14" s="9"/>
    </row>
    <row r="15" spans="1:14" ht="21.75" customHeight="1">
      <c r="A15" s="5">
        <v>8</v>
      </c>
      <c r="B15" s="12" t="s">
        <v>20</v>
      </c>
      <c r="C15" s="59">
        <v>23</v>
      </c>
      <c r="D15" s="37">
        <f>162+149+148+162+206+162</f>
        <v>989</v>
      </c>
      <c r="E15" s="34">
        <v>13</v>
      </c>
      <c r="F15" s="45">
        <v>6</v>
      </c>
      <c r="G15" s="37">
        <f>211+179+188+191+191+131</f>
        <v>1091</v>
      </c>
      <c r="H15" s="34">
        <v>5</v>
      </c>
      <c r="I15" s="45">
        <v>11</v>
      </c>
      <c r="J15" s="13">
        <f>185+184+159+213+164+171</f>
        <v>1076</v>
      </c>
      <c r="K15" s="49">
        <v>4</v>
      </c>
      <c r="L15" s="53">
        <v>12</v>
      </c>
      <c r="M15" s="12">
        <f t="shared" si="0"/>
        <v>52</v>
      </c>
      <c r="N15" s="9"/>
    </row>
    <row r="16" spans="1:13" ht="21.75" customHeight="1">
      <c r="A16" s="5">
        <v>9</v>
      </c>
      <c r="B16" s="12" t="s">
        <v>12</v>
      </c>
      <c r="C16" s="59">
        <v>18</v>
      </c>
      <c r="D16" s="37">
        <f>132+203+196+194+158+201</f>
        <v>1084</v>
      </c>
      <c r="E16" s="34">
        <v>7</v>
      </c>
      <c r="F16" s="45">
        <v>12</v>
      </c>
      <c r="G16" s="37">
        <f>127+165+179+206+184+155</f>
        <v>1016</v>
      </c>
      <c r="H16" s="34">
        <v>10</v>
      </c>
      <c r="I16" s="45">
        <v>6</v>
      </c>
      <c r="J16" s="13">
        <f>175+184+157+186+178+168</f>
        <v>1048</v>
      </c>
      <c r="K16" s="49">
        <v>7</v>
      </c>
      <c r="L16" s="53">
        <v>9</v>
      </c>
      <c r="M16" s="12">
        <f t="shared" si="0"/>
        <v>45</v>
      </c>
    </row>
    <row r="17" spans="1:13" ht="21.75" customHeight="1">
      <c r="A17" s="5">
        <v>10</v>
      </c>
      <c r="B17" s="12" t="s">
        <v>18</v>
      </c>
      <c r="C17" s="59">
        <v>16</v>
      </c>
      <c r="D17" s="37">
        <f>167+225+163+170+178+191</f>
        <v>1094</v>
      </c>
      <c r="E17" s="34">
        <v>5</v>
      </c>
      <c r="F17" s="45">
        <v>14</v>
      </c>
      <c r="G17" s="37">
        <f>201+181+177+173+169+157</f>
        <v>1058</v>
      </c>
      <c r="H17" s="34">
        <v>8</v>
      </c>
      <c r="I17" s="45">
        <v>8</v>
      </c>
      <c r="J17" s="13">
        <f>122+220+181+175+144+160</f>
        <v>1002</v>
      </c>
      <c r="K17" s="49">
        <v>12</v>
      </c>
      <c r="L17" s="53">
        <v>4</v>
      </c>
      <c r="M17" s="12">
        <f t="shared" si="0"/>
        <v>42</v>
      </c>
    </row>
    <row r="18" spans="1:13" ht="21.75" customHeight="1">
      <c r="A18" s="4">
        <v>11</v>
      </c>
      <c r="B18" s="12" t="s">
        <v>50</v>
      </c>
      <c r="C18" s="60">
        <v>16</v>
      </c>
      <c r="D18" s="38">
        <f>185+165+193+177+183+149</f>
        <v>1052</v>
      </c>
      <c r="E18" s="35">
        <v>10</v>
      </c>
      <c r="F18" s="46">
        <v>9</v>
      </c>
      <c r="G18" s="38">
        <f>133+165+161+163+169+170</f>
        <v>961</v>
      </c>
      <c r="H18" s="35">
        <v>13</v>
      </c>
      <c r="I18" s="46">
        <v>3</v>
      </c>
      <c r="J18" s="14">
        <f>164+118+196+122+175+160</f>
        <v>935</v>
      </c>
      <c r="K18" s="50">
        <v>14</v>
      </c>
      <c r="L18" s="54">
        <v>2</v>
      </c>
      <c r="M18" s="12">
        <f t="shared" si="0"/>
        <v>30</v>
      </c>
    </row>
    <row r="19" spans="1:13" ht="21.75" customHeight="1">
      <c r="A19" s="5">
        <v>12</v>
      </c>
      <c r="B19" s="12" t="s">
        <v>49</v>
      </c>
      <c r="C19" s="60">
        <v>18</v>
      </c>
      <c r="D19" s="38">
        <f>166+152+183+187+162+157</f>
        <v>1007</v>
      </c>
      <c r="E19" s="35">
        <v>12</v>
      </c>
      <c r="F19" s="46">
        <v>7</v>
      </c>
      <c r="G19" s="38"/>
      <c r="H19" s="35"/>
      <c r="I19" s="46"/>
      <c r="J19" s="14"/>
      <c r="K19" s="50"/>
      <c r="L19" s="54"/>
      <c r="M19" s="12">
        <f t="shared" si="0"/>
        <v>25</v>
      </c>
    </row>
    <row r="20" spans="1:13" ht="21.75" customHeight="1">
      <c r="A20" s="5">
        <v>13</v>
      </c>
      <c r="B20" s="12" t="s">
        <v>6</v>
      </c>
      <c r="C20" s="60">
        <v>7</v>
      </c>
      <c r="D20" s="38">
        <f>135+157+182+166+194+147</f>
        <v>981</v>
      </c>
      <c r="E20" s="35">
        <v>15</v>
      </c>
      <c r="F20" s="46">
        <v>4</v>
      </c>
      <c r="G20" s="38">
        <f>147+166+145+186+172+180</f>
        <v>996</v>
      </c>
      <c r="H20" s="35">
        <v>11</v>
      </c>
      <c r="I20" s="46">
        <v>5</v>
      </c>
      <c r="J20" s="14">
        <f>145+168+171+169+162+192</f>
        <v>1007</v>
      </c>
      <c r="K20" s="50">
        <v>11</v>
      </c>
      <c r="L20" s="54">
        <v>5</v>
      </c>
      <c r="M20" s="12">
        <f t="shared" si="0"/>
        <v>21</v>
      </c>
    </row>
    <row r="21" spans="1:13" ht="21.75" customHeight="1">
      <c r="A21" s="5">
        <v>14</v>
      </c>
      <c r="B21" s="12" t="s">
        <v>7</v>
      </c>
      <c r="C21" s="60">
        <v>4</v>
      </c>
      <c r="D21" s="38">
        <f>48+145+133+135+165+144+152</f>
        <v>922</v>
      </c>
      <c r="E21" s="35">
        <v>17</v>
      </c>
      <c r="F21" s="46">
        <v>2</v>
      </c>
      <c r="G21" s="38">
        <f>48+181+150+168+148+178+154</f>
        <v>1027</v>
      </c>
      <c r="H21" s="35">
        <v>9</v>
      </c>
      <c r="I21" s="46">
        <v>7</v>
      </c>
      <c r="J21" s="14">
        <f>48+189+130+116+187+202+161</f>
        <v>1033</v>
      </c>
      <c r="K21" s="50">
        <v>10</v>
      </c>
      <c r="L21" s="54">
        <v>6</v>
      </c>
      <c r="M21" s="12">
        <f t="shared" si="0"/>
        <v>19</v>
      </c>
    </row>
    <row r="22" spans="1:13" ht="21.75" customHeight="1">
      <c r="A22" s="5">
        <v>15</v>
      </c>
      <c r="B22" s="12" t="s">
        <v>34</v>
      </c>
      <c r="C22" s="60">
        <v>13</v>
      </c>
      <c r="D22" s="38">
        <f>140+146+135+168+135+131</f>
        <v>855</v>
      </c>
      <c r="E22" s="35">
        <v>18</v>
      </c>
      <c r="F22" s="46">
        <v>1</v>
      </c>
      <c r="G22" s="38">
        <f>123+170+122+162+142+144</f>
        <v>863</v>
      </c>
      <c r="H22" s="35">
        <v>15</v>
      </c>
      <c r="I22" s="46">
        <v>1</v>
      </c>
      <c r="J22" s="14">
        <f>155+171+179+171+167+127</f>
        <v>970</v>
      </c>
      <c r="K22" s="50">
        <v>13</v>
      </c>
      <c r="L22" s="54">
        <v>3</v>
      </c>
      <c r="M22" s="12">
        <f t="shared" si="0"/>
        <v>18</v>
      </c>
    </row>
    <row r="23" spans="1:13" ht="21.75" customHeight="1">
      <c r="A23" s="5">
        <v>16</v>
      </c>
      <c r="B23" s="12" t="s">
        <v>35</v>
      </c>
      <c r="C23" s="60">
        <v>3</v>
      </c>
      <c r="D23" s="38">
        <f>154+170+141+197+175+152</f>
        <v>989</v>
      </c>
      <c r="E23" s="35">
        <v>14</v>
      </c>
      <c r="F23" s="46">
        <v>5</v>
      </c>
      <c r="G23" s="38">
        <f>182+175+128+102+181+165</f>
        <v>933</v>
      </c>
      <c r="H23" s="35">
        <v>14</v>
      </c>
      <c r="I23" s="46">
        <v>2</v>
      </c>
      <c r="J23" s="14">
        <f>154+190+124+127+171+116</f>
        <v>882</v>
      </c>
      <c r="K23" s="50">
        <v>15</v>
      </c>
      <c r="L23" s="54">
        <v>1</v>
      </c>
      <c r="M23" s="12">
        <f t="shared" si="0"/>
        <v>11</v>
      </c>
    </row>
    <row r="24" spans="1:13" ht="21">
      <c r="A24" s="6">
        <v>17</v>
      </c>
      <c r="B24" s="12" t="s">
        <v>13</v>
      </c>
      <c r="C24" s="60">
        <v>6</v>
      </c>
      <c r="D24" s="38"/>
      <c r="E24" s="35"/>
      <c r="F24" s="46"/>
      <c r="G24" s="38">
        <f>181+177+135+179+144+170</f>
        <v>986</v>
      </c>
      <c r="H24" s="35">
        <v>12</v>
      </c>
      <c r="I24" s="46">
        <v>4</v>
      </c>
      <c r="J24" s="14"/>
      <c r="K24" s="50"/>
      <c r="L24" s="54"/>
      <c r="M24" s="12">
        <f t="shared" si="0"/>
        <v>10</v>
      </c>
    </row>
    <row r="25" spans="1:13" ht="21">
      <c r="A25" s="6">
        <v>18</v>
      </c>
      <c r="B25" s="15" t="s">
        <v>51</v>
      </c>
      <c r="C25" s="60"/>
      <c r="D25" s="38">
        <f>171+177+147+157+157+245</f>
        <v>1054</v>
      </c>
      <c r="E25" s="35">
        <v>9</v>
      </c>
      <c r="F25" s="46">
        <v>10</v>
      </c>
      <c r="G25" s="38"/>
      <c r="H25" s="35"/>
      <c r="I25" s="46"/>
      <c r="J25" s="14"/>
      <c r="K25" s="50"/>
      <c r="L25" s="54"/>
      <c r="M25" s="12">
        <f t="shared" si="0"/>
        <v>10</v>
      </c>
    </row>
    <row r="26" spans="1:13" ht="21">
      <c r="A26" s="6">
        <v>19</v>
      </c>
      <c r="B26" s="15" t="s">
        <v>48</v>
      </c>
      <c r="C26" s="60">
        <v>4</v>
      </c>
      <c r="D26" s="38">
        <f>159+164+161+175+136+170</f>
        <v>965</v>
      </c>
      <c r="E26" s="35">
        <v>16</v>
      </c>
      <c r="F26" s="46">
        <v>3</v>
      </c>
      <c r="G26" s="38"/>
      <c r="H26" s="35"/>
      <c r="I26" s="46"/>
      <c r="J26" s="14"/>
      <c r="K26" s="50"/>
      <c r="L26" s="54"/>
      <c r="M26" s="12">
        <f t="shared" si="0"/>
        <v>7</v>
      </c>
    </row>
    <row r="27" spans="1:13" ht="21.75" thickBot="1">
      <c r="A27" s="7">
        <v>20</v>
      </c>
      <c r="B27" s="16" t="s">
        <v>36</v>
      </c>
      <c r="C27" s="61">
        <v>3</v>
      </c>
      <c r="D27" s="43"/>
      <c r="E27" s="40"/>
      <c r="F27" s="56"/>
      <c r="G27" s="43"/>
      <c r="H27" s="40"/>
      <c r="I27" s="56"/>
      <c r="J27" s="17"/>
      <c r="K27" s="51"/>
      <c r="L27" s="55"/>
      <c r="M27" s="16">
        <f t="shared" si="0"/>
        <v>3</v>
      </c>
    </row>
    <row r="28" spans="2:10" ht="18.75">
      <c r="B28" s="8"/>
      <c r="C28" s="62"/>
      <c r="D28" s="9"/>
      <c r="E28" s="9"/>
      <c r="F28" s="9"/>
      <c r="G28" s="9"/>
      <c r="H28" s="41"/>
      <c r="I28" s="9"/>
      <c r="J28" s="9"/>
    </row>
  </sheetData>
  <sheetProtection/>
  <mergeCells count="4">
    <mergeCell ref="A1:M1"/>
    <mergeCell ref="A2:M2"/>
    <mergeCell ref="A3:M3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zoomScalePageLayoutView="0" workbookViewId="0" topLeftCell="A1">
      <selection activeCell="A1" sqref="A1:M1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7" width="8.7109375" style="0" customWidth="1"/>
    <col min="8" max="8" width="8.7109375" style="42" customWidth="1"/>
    <col min="9" max="12" width="8.7109375" style="0" customWidth="1"/>
    <col min="13" max="13" width="9.140625" style="0" customWidth="1"/>
  </cols>
  <sheetData>
    <row r="1" spans="1:13" ht="23.25">
      <c r="A1" s="183" t="s">
        <v>47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s="18" customFormat="1" ht="18.75">
      <c r="A2" s="185" t="s">
        <v>21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8.75" customHeight="1">
      <c r="A3" s="185" t="s">
        <v>25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7.25" customHeight="1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5" customHeight="1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4:12" ht="19.5" customHeight="1" thickBot="1">
      <c r="D6" s="24"/>
      <c r="E6" s="27">
        <v>42438</v>
      </c>
      <c r="F6" s="26"/>
      <c r="G6" s="24"/>
      <c r="H6" s="27">
        <v>42445</v>
      </c>
      <c r="I6" s="26"/>
      <c r="J6" s="25"/>
      <c r="K6" s="27">
        <v>42452</v>
      </c>
      <c r="L6" s="26"/>
    </row>
    <row r="7" spans="1:13" s="3" customFormat="1" ht="19.5" customHeight="1" thickBot="1">
      <c r="A7" s="2" t="s">
        <v>1</v>
      </c>
      <c r="B7" s="2" t="s">
        <v>15</v>
      </c>
      <c r="C7" s="65" t="s">
        <v>26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28" t="s">
        <v>2</v>
      </c>
    </row>
    <row r="8" spans="1:14" ht="19.5" customHeight="1">
      <c r="A8" s="108">
        <v>1</v>
      </c>
      <c r="B8" s="87" t="s">
        <v>5</v>
      </c>
      <c r="C8" s="58">
        <v>94</v>
      </c>
      <c r="D8" s="36">
        <f>180+199+228+217+162+168</f>
        <v>1154</v>
      </c>
      <c r="E8" s="33">
        <v>3</v>
      </c>
      <c r="F8" s="44">
        <v>10</v>
      </c>
      <c r="G8" s="36">
        <f>265+214+226+222+242+289</f>
        <v>1458</v>
      </c>
      <c r="H8" s="33">
        <v>1</v>
      </c>
      <c r="I8" s="44">
        <v>18</v>
      </c>
      <c r="J8" s="11">
        <f>175+261+223+186+184+235</f>
        <v>1264</v>
      </c>
      <c r="K8" s="48">
        <v>2</v>
      </c>
      <c r="L8" s="52">
        <v>20</v>
      </c>
      <c r="M8" s="10">
        <f aca="true" t="shared" si="0" ref="M8:M32">F8+I8+L8+C8</f>
        <v>142</v>
      </c>
      <c r="N8" s="9"/>
    </row>
    <row r="9" spans="1:14" ht="19.5" customHeight="1">
      <c r="A9" s="5">
        <v>2</v>
      </c>
      <c r="B9" s="71" t="s">
        <v>3</v>
      </c>
      <c r="C9" s="59">
        <v>92</v>
      </c>
      <c r="D9" s="37">
        <f>193+248+205+232+210+143</f>
        <v>1231</v>
      </c>
      <c r="E9" s="34">
        <v>1</v>
      </c>
      <c r="F9" s="45">
        <v>15</v>
      </c>
      <c r="G9" s="37">
        <f>192+189+149+189+139+134</f>
        <v>992</v>
      </c>
      <c r="H9" s="34">
        <v>14</v>
      </c>
      <c r="I9" s="45">
        <v>3</v>
      </c>
      <c r="J9" s="13">
        <f>163+187+181+171+177+233</f>
        <v>1112</v>
      </c>
      <c r="K9" s="49">
        <v>6</v>
      </c>
      <c r="L9" s="53">
        <v>15</v>
      </c>
      <c r="M9" s="12">
        <f t="shared" si="0"/>
        <v>125</v>
      </c>
      <c r="N9" s="9"/>
    </row>
    <row r="10" spans="1:14" ht="19.5" customHeight="1">
      <c r="A10" s="5">
        <v>3</v>
      </c>
      <c r="B10" s="71" t="s">
        <v>10</v>
      </c>
      <c r="C10" s="59">
        <v>74</v>
      </c>
      <c r="D10" s="37">
        <f>236+197+159+180+194+202</f>
        <v>1168</v>
      </c>
      <c r="E10" s="34">
        <v>2</v>
      </c>
      <c r="F10" s="45">
        <v>12</v>
      </c>
      <c r="G10" s="37">
        <f>184+184+182+200+266+220</f>
        <v>1236</v>
      </c>
      <c r="H10" s="34">
        <v>2</v>
      </c>
      <c r="I10" s="45">
        <v>15</v>
      </c>
      <c r="J10" s="13">
        <f>206+212+148+166+194+178</f>
        <v>1104</v>
      </c>
      <c r="K10" s="49">
        <v>11</v>
      </c>
      <c r="L10" s="53">
        <v>10</v>
      </c>
      <c r="M10" s="12">
        <f t="shared" si="0"/>
        <v>111</v>
      </c>
      <c r="N10" s="9"/>
    </row>
    <row r="11" spans="1:14" ht="19.5" customHeight="1">
      <c r="A11" s="5">
        <v>4</v>
      </c>
      <c r="B11" s="71" t="s">
        <v>22</v>
      </c>
      <c r="C11" s="59">
        <v>77</v>
      </c>
      <c r="D11" s="37">
        <f>207+149+114+172+147+160</f>
        <v>949</v>
      </c>
      <c r="E11" s="34">
        <v>10</v>
      </c>
      <c r="F11" s="45">
        <v>3</v>
      </c>
      <c r="G11" s="37">
        <f>201+279+182+203+157+178</f>
        <v>1200</v>
      </c>
      <c r="H11" s="34">
        <v>4</v>
      </c>
      <c r="I11" s="45">
        <v>13</v>
      </c>
      <c r="J11" s="13">
        <f>200+175+195+152+178+185</f>
        <v>1085</v>
      </c>
      <c r="K11" s="49">
        <v>12</v>
      </c>
      <c r="L11" s="53">
        <v>9</v>
      </c>
      <c r="M11" s="12">
        <f t="shared" si="0"/>
        <v>102</v>
      </c>
      <c r="N11" s="9"/>
    </row>
    <row r="12" spans="1:14" ht="19.5" customHeight="1">
      <c r="A12" s="5">
        <v>5</v>
      </c>
      <c r="B12" s="71" t="s">
        <v>14</v>
      </c>
      <c r="C12" s="59">
        <v>62</v>
      </c>
      <c r="D12" s="37">
        <f>189+189+149+204+219+178</f>
        <v>1128</v>
      </c>
      <c r="E12" s="34">
        <v>4</v>
      </c>
      <c r="F12" s="45">
        <v>9</v>
      </c>
      <c r="G12" s="37">
        <f>202+193+148+203+212+166</f>
        <v>1124</v>
      </c>
      <c r="H12" s="34">
        <v>6</v>
      </c>
      <c r="I12" s="45">
        <v>11</v>
      </c>
      <c r="J12" s="13">
        <f>187+162+171+172+145+181</f>
        <v>1018</v>
      </c>
      <c r="K12" s="49">
        <v>16</v>
      </c>
      <c r="L12" s="53">
        <v>5</v>
      </c>
      <c r="M12" s="12">
        <f t="shared" si="0"/>
        <v>87</v>
      </c>
      <c r="N12" s="9"/>
    </row>
    <row r="13" spans="1:14" ht="19.5" customHeight="1">
      <c r="A13" s="5">
        <v>6</v>
      </c>
      <c r="B13" s="71" t="s">
        <v>20</v>
      </c>
      <c r="C13" s="59">
        <v>52</v>
      </c>
      <c r="D13" s="37">
        <f>185+148+127+178+179+246</f>
        <v>1063</v>
      </c>
      <c r="E13" s="34">
        <v>6</v>
      </c>
      <c r="F13" s="45">
        <v>7</v>
      </c>
      <c r="G13" s="37">
        <f>177+255+195+204+170+143</f>
        <v>1144</v>
      </c>
      <c r="H13" s="34">
        <v>5</v>
      </c>
      <c r="I13" s="45">
        <v>12</v>
      </c>
      <c r="J13" s="13">
        <f>192+175+200+179+181+181</f>
        <v>1108</v>
      </c>
      <c r="K13" s="49">
        <v>8</v>
      </c>
      <c r="L13" s="53">
        <v>13</v>
      </c>
      <c r="M13" s="12">
        <f t="shared" si="0"/>
        <v>84</v>
      </c>
      <c r="N13" s="9"/>
    </row>
    <row r="14" spans="1:14" ht="19.5" customHeight="1">
      <c r="A14" s="5">
        <v>7</v>
      </c>
      <c r="B14" s="71" t="s">
        <v>33</v>
      </c>
      <c r="C14" s="59">
        <v>59</v>
      </c>
      <c r="D14" s="37"/>
      <c r="E14" s="34"/>
      <c r="F14" s="45"/>
      <c r="G14" s="37">
        <f>201+232+170+188+163+156</f>
        <v>1110</v>
      </c>
      <c r="H14" s="34">
        <v>7</v>
      </c>
      <c r="I14" s="45">
        <v>10</v>
      </c>
      <c r="J14" s="13">
        <f>182+155+150+231+246+145</f>
        <v>1109</v>
      </c>
      <c r="K14" s="49">
        <v>7</v>
      </c>
      <c r="L14" s="53">
        <v>14</v>
      </c>
      <c r="M14" s="12">
        <f t="shared" si="0"/>
        <v>83</v>
      </c>
      <c r="N14" s="9"/>
    </row>
    <row r="15" spans="1:14" ht="19.5" customHeight="1">
      <c r="A15" s="5">
        <v>8</v>
      </c>
      <c r="B15" s="71" t="s">
        <v>27</v>
      </c>
      <c r="C15" s="59">
        <v>60</v>
      </c>
      <c r="D15" s="37"/>
      <c r="E15" s="34"/>
      <c r="F15" s="45"/>
      <c r="G15" s="37">
        <f>243+224+173+182+119+110</f>
        <v>1051</v>
      </c>
      <c r="H15" s="34">
        <v>9</v>
      </c>
      <c r="I15" s="45">
        <v>8</v>
      </c>
      <c r="J15" s="13">
        <f>178+181+230+189+164+123</f>
        <v>1065</v>
      </c>
      <c r="K15" s="49">
        <v>14</v>
      </c>
      <c r="L15" s="53">
        <v>7</v>
      </c>
      <c r="M15" s="12">
        <f t="shared" si="0"/>
        <v>75</v>
      </c>
      <c r="N15" s="9"/>
    </row>
    <row r="16" spans="1:13" ht="19.5" customHeight="1">
      <c r="A16" s="5">
        <v>9</v>
      </c>
      <c r="B16" s="71" t="s">
        <v>18</v>
      </c>
      <c r="C16" s="59">
        <v>42</v>
      </c>
      <c r="D16" s="37">
        <f>193+172+149+178+183+167</f>
        <v>1042</v>
      </c>
      <c r="E16" s="34">
        <v>7</v>
      </c>
      <c r="F16" s="45">
        <v>6</v>
      </c>
      <c r="G16" s="37">
        <f>163+182+172+160+209+172</f>
        <v>1058</v>
      </c>
      <c r="H16" s="34">
        <v>8</v>
      </c>
      <c r="I16" s="45">
        <v>9</v>
      </c>
      <c r="J16" s="13">
        <f>174+159+202+195+196+180</f>
        <v>1106</v>
      </c>
      <c r="K16" s="49">
        <v>10</v>
      </c>
      <c r="L16" s="53">
        <v>11</v>
      </c>
      <c r="M16" s="12">
        <f t="shared" si="0"/>
        <v>68</v>
      </c>
    </row>
    <row r="17" spans="1:13" ht="19.5" customHeight="1">
      <c r="A17" s="5">
        <v>10</v>
      </c>
      <c r="B17" s="71" t="s">
        <v>12</v>
      </c>
      <c r="C17" s="59">
        <v>45</v>
      </c>
      <c r="D17" s="37">
        <f>155+194+162+180+150+168</f>
        <v>1009</v>
      </c>
      <c r="E17" s="34">
        <v>9</v>
      </c>
      <c r="F17" s="45">
        <v>4</v>
      </c>
      <c r="G17" s="37">
        <f>171+147+175+164+176+190</f>
        <v>1023</v>
      </c>
      <c r="H17" s="34">
        <v>13</v>
      </c>
      <c r="I17" s="45">
        <v>4</v>
      </c>
      <c r="J17" s="13">
        <f>187+173+148+181+153+203</f>
        <v>1045</v>
      </c>
      <c r="K17" s="49">
        <v>15</v>
      </c>
      <c r="L17" s="53">
        <v>6</v>
      </c>
      <c r="M17" s="12">
        <f t="shared" si="0"/>
        <v>59</v>
      </c>
    </row>
    <row r="18" spans="1:13" ht="19.5" customHeight="1">
      <c r="A18" s="4">
        <v>11</v>
      </c>
      <c r="B18" s="71" t="s">
        <v>6</v>
      </c>
      <c r="C18" s="60">
        <v>21</v>
      </c>
      <c r="D18" s="38">
        <f>192+135+151+222+161+174</f>
        <v>1035</v>
      </c>
      <c r="E18" s="35">
        <v>8</v>
      </c>
      <c r="F18" s="46">
        <v>5</v>
      </c>
      <c r="G18" s="38">
        <f>151+176+152+157+210+183</f>
        <v>1029</v>
      </c>
      <c r="H18" s="35">
        <v>11</v>
      </c>
      <c r="I18" s="46">
        <v>6</v>
      </c>
      <c r="J18" s="14">
        <f>200+157+172+213+183+159</f>
        <v>1084</v>
      </c>
      <c r="K18" s="50">
        <v>13</v>
      </c>
      <c r="L18" s="54">
        <v>8</v>
      </c>
      <c r="M18" s="12">
        <f t="shared" si="0"/>
        <v>40</v>
      </c>
    </row>
    <row r="19" spans="1:13" ht="19.5" customHeight="1">
      <c r="A19" s="5">
        <v>12</v>
      </c>
      <c r="B19" s="71" t="s">
        <v>50</v>
      </c>
      <c r="C19" s="60">
        <v>30</v>
      </c>
      <c r="D19" s="38">
        <f>169+159+113+177+136+139</f>
        <v>893</v>
      </c>
      <c r="E19" s="35">
        <v>11</v>
      </c>
      <c r="F19" s="46">
        <v>2</v>
      </c>
      <c r="G19" s="38">
        <f>194+197+185+145+155+173</f>
        <v>1049</v>
      </c>
      <c r="H19" s="35">
        <v>10</v>
      </c>
      <c r="I19" s="46">
        <v>7</v>
      </c>
      <c r="J19" s="14"/>
      <c r="K19" s="50"/>
      <c r="L19" s="54"/>
      <c r="M19" s="12">
        <f t="shared" si="0"/>
        <v>39</v>
      </c>
    </row>
    <row r="20" spans="1:13" ht="19.5" customHeight="1">
      <c r="A20" s="5">
        <v>13</v>
      </c>
      <c r="B20" s="12" t="s">
        <v>9</v>
      </c>
      <c r="C20" s="60"/>
      <c r="D20" s="38"/>
      <c r="E20" s="35"/>
      <c r="F20" s="46"/>
      <c r="G20" s="38">
        <f>183+198+232+236+182+204</f>
        <v>1235</v>
      </c>
      <c r="H20" s="35">
        <v>3</v>
      </c>
      <c r="I20" s="46">
        <v>14</v>
      </c>
      <c r="J20" s="14">
        <f>255+226+173+244+217+201</f>
        <v>1316</v>
      </c>
      <c r="K20" s="50">
        <v>1</v>
      </c>
      <c r="L20" s="54">
        <v>23</v>
      </c>
      <c r="M20" s="12">
        <f t="shared" si="0"/>
        <v>37</v>
      </c>
    </row>
    <row r="21" spans="1:13" ht="19.5" customHeight="1">
      <c r="A21" s="5">
        <v>14</v>
      </c>
      <c r="B21" s="12" t="s">
        <v>34</v>
      </c>
      <c r="C21" s="60">
        <v>18</v>
      </c>
      <c r="D21" s="38">
        <f>169+138+181+210+202+169</f>
        <v>1069</v>
      </c>
      <c r="E21" s="35">
        <v>5</v>
      </c>
      <c r="F21" s="46">
        <v>8</v>
      </c>
      <c r="G21" s="38">
        <f>151+159+169+193+165+191</f>
        <v>1028</v>
      </c>
      <c r="H21" s="35">
        <v>12</v>
      </c>
      <c r="I21" s="46">
        <v>5</v>
      </c>
      <c r="J21" s="14">
        <f>144+125+181+155+172+169</f>
        <v>946</v>
      </c>
      <c r="K21" s="50">
        <v>19</v>
      </c>
      <c r="L21" s="54">
        <v>2</v>
      </c>
      <c r="M21" s="12">
        <f t="shared" si="0"/>
        <v>33</v>
      </c>
    </row>
    <row r="22" spans="1:13" ht="19.5" customHeight="1">
      <c r="A22" s="5">
        <v>15</v>
      </c>
      <c r="B22" s="12" t="s">
        <v>49</v>
      </c>
      <c r="C22" s="60">
        <v>25</v>
      </c>
      <c r="D22" s="38"/>
      <c r="E22" s="35"/>
      <c r="F22" s="46"/>
      <c r="G22" s="38"/>
      <c r="H22" s="35"/>
      <c r="I22" s="46"/>
      <c r="J22" s="14">
        <f>146+143+176+158+143+138</f>
        <v>904</v>
      </c>
      <c r="K22" s="50">
        <v>20</v>
      </c>
      <c r="L22" s="54">
        <v>1</v>
      </c>
      <c r="M22" s="12">
        <f t="shared" si="0"/>
        <v>26</v>
      </c>
    </row>
    <row r="23" spans="1:13" ht="19.5" customHeight="1">
      <c r="A23" s="5">
        <v>16</v>
      </c>
      <c r="B23" s="71" t="s">
        <v>7</v>
      </c>
      <c r="C23" s="60">
        <v>19</v>
      </c>
      <c r="D23" s="38"/>
      <c r="E23" s="35"/>
      <c r="F23" s="46"/>
      <c r="G23" s="38"/>
      <c r="H23" s="35"/>
      <c r="I23" s="46"/>
      <c r="J23" s="14"/>
      <c r="K23" s="50"/>
      <c r="L23" s="54"/>
      <c r="M23" s="12">
        <f t="shared" si="0"/>
        <v>19</v>
      </c>
    </row>
    <row r="24" spans="1:13" ht="19.5" customHeight="1">
      <c r="A24" s="6">
        <v>17</v>
      </c>
      <c r="B24" s="12" t="s">
        <v>11</v>
      </c>
      <c r="C24" s="60"/>
      <c r="D24" s="38"/>
      <c r="E24" s="35"/>
      <c r="F24" s="46"/>
      <c r="G24" s="38"/>
      <c r="H24" s="35"/>
      <c r="I24" s="46"/>
      <c r="J24" s="14">
        <f>224+199+209+200+224+192</f>
        <v>1248</v>
      </c>
      <c r="K24" s="50">
        <v>3</v>
      </c>
      <c r="L24" s="54">
        <v>18</v>
      </c>
      <c r="M24" s="12">
        <f t="shared" si="0"/>
        <v>18</v>
      </c>
    </row>
    <row r="25" spans="1:13" ht="19.5" customHeight="1">
      <c r="A25" s="6">
        <v>18</v>
      </c>
      <c r="B25" s="15" t="s">
        <v>35</v>
      </c>
      <c r="C25" s="60">
        <v>11</v>
      </c>
      <c r="D25" s="38">
        <f>127+133+168+151+113+160</f>
        <v>852</v>
      </c>
      <c r="E25" s="35">
        <v>12</v>
      </c>
      <c r="F25" s="46">
        <v>1</v>
      </c>
      <c r="G25" s="38">
        <f>142+151+155+140+150+222</f>
        <v>960</v>
      </c>
      <c r="H25" s="35">
        <v>15</v>
      </c>
      <c r="I25" s="46">
        <v>2</v>
      </c>
      <c r="J25" s="14">
        <f>114+188+143+187+172+163</f>
        <v>967</v>
      </c>
      <c r="K25" s="50">
        <v>18</v>
      </c>
      <c r="L25" s="54">
        <v>3</v>
      </c>
      <c r="M25" s="12">
        <f t="shared" si="0"/>
        <v>17</v>
      </c>
    </row>
    <row r="26" spans="1:13" ht="19.5" customHeight="1">
      <c r="A26" s="6">
        <v>19</v>
      </c>
      <c r="B26" s="15" t="s">
        <v>4</v>
      </c>
      <c r="C26" s="60"/>
      <c r="D26" s="38"/>
      <c r="E26" s="35"/>
      <c r="F26" s="46"/>
      <c r="G26" s="38"/>
      <c r="H26" s="35"/>
      <c r="I26" s="46"/>
      <c r="J26" s="14">
        <f>167+190+225+236+225+163</f>
        <v>1206</v>
      </c>
      <c r="K26" s="50">
        <v>4</v>
      </c>
      <c r="L26" s="54">
        <v>17</v>
      </c>
      <c r="M26" s="12">
        <f t="shared" si="0"/>
        <v>17</v>
      </c>
    </row>
    <row r="27" spans="1:13" ht="19.5" customHeight="1">
      <c r="A27" s="6">
        <v>20</v>
      </c>
      <c r="B27" s="15" t="s">
        <v>53</v>
      </c>
      <c r="C27" s="60"/>
      <c r="D27" s="38"/>
      <c r="E27" s="35"/>
      <c r="F27" s="46"/>
      <c r="G27" s="38"/>
      <c r="H27" s="35"/>
      <c r="I27" s="46"/>
      <c r="J27" s="14">
        <f>162+167+224+194+178+195</f>
        <v>1120</v>
      </c>
      <c r="K27" s="50">
        <v>5</v>
      </c>
      <c r="L27" s="54">
        <v>16</v>
      </c>
      <c r="M27" s="12">
        <f t="shared" si="0"/>
        <v>16</v>
      </c>
    </row>
    <row r="28" spans="1:13" ht="19.5" customHeight="1">
      <c r="A28" s="6">
        <v>21</v>
      </c>
      <c r="B28" s="15" t="s">
        <v>51</v>
      </c>
      <c r="C28" s="60">
        <v>10</v>
      </c>
      <c r="D28" s="38"/>
      <c r="E28" s="35"/>
      <c r="F28" s="46"/>
      <c r="G28" s="38"/>
      <c r="H28" s="35"/>
      <c r="I28" s="46"/>
      <c r="J28" s="14">
        <f>152+211+125+157+180+143</f>
        <v>968</v>
      </c>
      <c r="K28" s="50">
        <v>17</v>
      </c>
      <c r="L28" s="54">
        <v>4</v>
      </c>
      <c r="M28" s="12">
        <f t="shared" si="0"/>
        <v>14</v>
      </c>
    </row>
    <row r="29" spans="1:13" ht="19.5" customHeight="1">
      <c r="A29" s="6">
        <v>22</v>
      </c>
      <c r="B29" s="15" t="s">
        <v>52</v>
      </c>
      <c r="C29" s="60"/>
      <c r="D29" s="38"/>
      <c r="E29" s="35"/>
      <c r="F29" s="46"/>
      <c r="G29" s="38"/>
      <c r="H29" s="35"/>
      <c r="I29" s="46"/>
      <c r="J29" s="14">
        <f>167+169+169+256+188+158</f>
        <v>1107</v>
      </c>
      <c r="K29" s="50">
        <v>9</v>
      </c>
      <c r="L29" s="54">
        <v>12</v>
      </c>
      <c r="M29" s="12">
        <f t="shared" si="0"/>
        <v>12</v>
      </c>
    </row>
    <row r="30" spans="1:13" ht="19.5" customHeight="1">
      <c r="A30" s="6">
        <v>23</v>
      </c>
      <c r="B30" s="15" t="s">
        <v>13</v>
      </c>
      <c r="C30" s="60">
        <v>10</v>
      </c>
      <c r="D30" s="38"/>
      <c r="E30" s="35"/>
      <c r="F30" s="46"/>
      <c r="G30" s="38">
        <f>148+146+147+138+149+156</f>
        <v>884</v>
      </c>
      <c r="H30" s="35">
        <v>16</v>
      </c>
      <c r="I30" s="46">
        <v>1</v>
      </c>
      <c r="J30" s="14"/>
      <c r="K30" s="50"/>
      <c r="L30" s="54"/>
      <c r="M30" s="12">
        <f t="shared" si="0"/>
        <v>11</v>
      </c>
    </row>
    <row r="31" spans="1:13" ht="19.5" customHeight="1">
      <c r="A31" s="6">
        <v>24</v>
      </c>
      <c r="B31" s="15" t="s">
        <v>48</v>
      </c>
      <c r="C31" s="60">
        <v>7</v>
      </c>
      <c r="D31" s="38"/>
      <c r="E31" s="35"/>
      <c r="F31" s="46"/>
      <c r="G31" s="38"/>
      <c r="H31" s="35"/>
      <c r="I31" s="46"/>
      <c r="J31" s="14"/>
      <c r="K31" s="50"/>
      <c r="L31" s="54"/>
      <c r="M31" s="12">
        <f t="shared" si="0"/>
        <v>7</v>
      </c>
    </row>
    <row r="32" spans="1:13" ht="19.5" customHeight="1" thickBot="1">
      <c r="A32" s="7">
        <v>25</v>
      </c>
      <c r="B32" s="16" t="s">
        <v>36</v>
      </c>
      <c r="C32" s="61">
        <v>3</v>
      </c>
      <c r="D32" s="109"/>
      <c r="E32" s="40"/>
      <c r="F32" s="56"/>
      <c r="G32" s="43"/>
      <c r="H32" s="40"/>
      <c r="I32" s="56"/>
      <c r="J32" s="17"/>
      <c r="K32" s="51"/>
      <c r="L32" s="55"/>
      <c r="M32" s="16">
        <f t="shared" si="0"/>
        <v>3</v>
      </c>
    </row>
    <row r="33" spans="2:10" ht="18.75">
      <c r="B33" s="8"/>
      <c r="C33" s="62"/>
      <c r="D33" s="9"/>
      <c r="E33" s="9"/>
      <c r="F33" s="9"/>
      <c r="G33" s="9"/>
      <c r="H33" s="41"/>
      <c r="I33" s="9"/>
      <c r="J33" s="9"/>
    </row>
  </sheetData>
  <sheetProtection/>
  <mergeCells count="4">
    <mergeCell ref="A1:M1"/>
    <mergeCell ref="A2:M2"/>
    <mergeCell ref="A3:M3"/>
    <mergeCell ref="A4:M4"/>
  </mergeCells>
  <printOptions/>
  <pageMargins left="0.7086614173228347" right="0.5118110236220472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zoomScalePageLayoutView="0" workbookViewId="0" topLeftCell="A3">
      <selection activeCell="B8" sqref="B8:B32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7" width="8.7109375" style="0" customWidth="1"/>
    <col min="8" max="8" width="8.7109375" style="42" customWidth="1"/>
    <col min="9" max="12" width="8.7109375" style="0" customWidth="1"/>
    <col min="13" max="13" width="9.140625" style="0" customWidth="1"/>
  </cols>
  <sheetData>
    <row r="1" spans="1:13" ht="21" customHeight="1">
      <c r="A1" s="183" t="s">
        <v>47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s="18" customFormat="1" ht="18.75">
      <c r="A2" s="185" t="s">
        <v>21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5" customHeight="1">
      <c r="A3" s="185" t="s">
        <v>28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3.5" customHeight="1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9.75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4:12" ht="16.5" customHeight="1" thickBot="1">
      <c r="D6" s="24"/>
      <c r="E6" s="27">
        <v>42466</v>
      </c>
      <c r="F6" s="26"/>
      <c r="G6" s="24"/>
      <c r="H6" s="27">
        <v>42473</v>
      </c>
      <c r="I6" s="26"/>
      <c r="J6" s="25"/>
      <c r="K6" s="27">
        <v>42480</v>
      </c>
      <c r="L6" s="26"/>
    </row>
    <row r="7" spans="1:13" s="3" customFormat="1" ht="19.5" customHeight="1" thickBot="1">
      <c r="A7" s="2" t="s">
        <v>1</v>
      </c>
      <c r="B7" s="2" t="s">
        <v>15</v>
      </c>
      <c r="C7" s="65" t="s">
        <v>29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28" t="s">
        <v>2</v>
      </c>
    </row>
    <row r="8" spans="1:14" ht="18.75" customHeight="1">
      <c r="A8" s="4">
        <v>1</v>
      </c>
      <c r="B8" s="87" t="s">
        <v>5</v>
      </c>
      <c r="C8" s="58">
        <v>142</v>
      </c>
      <c r="D8" s="36">
        <f>238+241+267+205+258+234</f>
        <v>1443</v>
      </c>
      <c r="E8" s="33">
        <v>1</v>
      </c>
      <c r="F8" s="44">
        <v>14</v>
      </c>
      <c r="G8" s="36">
        <f>194+189+225+216+226+204</f>
        <v>1254</v>
      </c>
      <c r="H8" s="33">
        <v>1</v>
      </c>
      <c r="I8" s="44">
        <v>15</v>
      </c>
      <c r="J8" s="11">
        <f>146+241+190+235+150+158</f>
        <v>1120</v>
      </c>
      <c r="K8" s="48">
        <v>2</v>
      </c>
      <c r="L8" s="52">
        <v>12</v>
      </c>
      <c r="M8" s="10">
        <f aca="true" t="shared" si="0" ref="M8:M32">F8+I8+L8+C8</f>
        <v>183</v>
      </c>
      <c r="N8" s="9"/>
    </row>
    <row r="9" spans="1:14" ht="18.75" customHeight="1">
      <c r="A9" s="5">
        <v>2</v>
      </c>
      <c r="B9" s="71" t="s">
        <v>3</v>
      </c>
      <c r="C9" s="59">
        <v>125</v>
      </c>
      <c r="D9" s="37">
        <f>185+178+153+225+199+171</f>
        <v>1111</v>
      </c>
      <c r="E9" s="34">
        <v>2</v>
      </c>
      <c r="F9" s="45">
        <v>11</v>
      </c>
      <c r="G9" s="37">
        <f>183+180+191+244+210+145</f>
        <v>1153</v>
      </c>
      <c r="H9" s="34">
        <v>2</v>
      </c>
      <c r="I9" s="45">
        <v>12</v>
      </c>
      <c r="J9" s="13">
        <f>151+136+123+155+181+152</f>
        <v>898</v>
      </c>
      <c r="K9" s="49">
        <v>11</v>
      </c>
      <c r="L9" s="53">
        <v>2</v>
      </c>
      <c r="M9" s="12">
        <f t="shared" si="0"/>
        <v>150</v>
      </c>
      <c r="N9" s="9"/>
    </row>
    <row r="10" spans="1:14" ht="18.75" customHeight="1">
      <c r="A10" s="5">
        <v>3</v>
      </c>
      <c r="B10" s="71" t="s">
        <v>10</v>
      </c>
      <c r="C10" s="59">
        <v>111</v>
      </c>
      <c r="D10" s="37">
        <f>146+213+190+195+159+202</f>
        <v>1105</v>
      </c>
      <c r="E10" s="34">
        <v>3</v>
      </c>
      <c r="F10" s="45">
        <v>9</v>
      </c>
      <c r="G10" s="37">
        <f>173+185+193+150+194+184</f>
        <v>1079</v>
      </c>
      <c r="H10" s="34">
        <v>5</v>
      </c>
      <c r="I10" s="45">
        <v>8</v>
      </c>
      <c r="J10" s="13">
        <f>211+212+181+245+149+192</f>
        <v>1190</v>
      </c>
      <c r="K10" s="49">
        <v>1</v>
      </c>
      <c r="L10" s="53">
        <v>15</v>
      </c>
      <c r="M10" s="12">
        <f t="shared" si="0"/>
        <v>143</v>
      </c>
      <c r="N10" s="9"/>
    </row>
    <row r="11" spans="1:14" ht="18.75" customHeight="1">
      <c r="A11" s="5">
        <v>4</v>
      </c>
      <c r="B11" s="71" t="s">
        <v>22</v>
      </c>
      <c r="C11" s="59">
        <v>102</v>
      </c>
      <c r="D11" s="37">
        <f>222+151+189+189+174+166</f>
        <v>1091</v>
      </c>
      <c r="E11" s="67">
        <v>5</v>
      </c>
      <c r="F11" s="45">
        <v>7</v>
      </c>
      <c r="G11" s="37">
        <f>183+179+194+211+191+180</f>
        <v>1138</v>
      </c>
      <c r="H11" s="34">
        <v>4</v>
      </c>
      <c r="I11" s="45">
        <v>9</v>
      </c>
      <c r="J11" s="13">
        <f>155+214+152+167+150+212</f>
        <v>1050</v>
      </c>
      <c r="K11" s="49">
        <v>6</v>
      </c>
      <c r="L11" s="53">
        <v>7</v>
      </c>
      <c r="M11" s="12">
        <f t="shared" si="0"/>
        <v>125</v>
      </c>
      <c r="N11" s="9"/>
    </row>
    <row r="12" spans="1:14" ht="18.75" customHeight="1">
      <c r="A12" s="5">
        <v>5</v>
      </c>
      <c r="B12" s="71" t="s">
        <v>14</v>
      </c>
      <c r="C12" s="59">
        <v>87</v>
      </c>
      <c r="D12" s="37">
        <f>178+172+144+157+190+194</f>
        <v>1035</v>
      </c>
      <c r="E12" s="34">
        <v>8</v>
      </c>
      <c r="F12" s="45">
        <v>4</v>
      </c>
      <c r="G12" s="37">
        <f>149+177+148+181+205+146</f>
        <v>1006</v>
      </c>
      <c r="H12" s="34">
        <v>9</v>
      </c>
      <c r="I12" s="45">
        <v>4</v>
      </c>
      <c r="J12" s="13">
        <f>157+192+155+166+187+169</f>
        <v>1026</v>
      </c>
      <c r="K12" s="49">
        <v>8</v>
      </c>
      <c r="L12" s="53">
        <v>5</v>
      </c>
      <c r="M12" s="12">
        <f t="shared" si="0"/>
        <v>100</v>
      </c>
      <c r="N12" s="9"/>
    </row>
    <row r="13" spans="1:14" ht="18.75" customHeight="1">
      <c r="A13" s="5">
        <v>6</v>
      </c>
      <c r="B13" s="71" t="s">
        <v>20</v>
      </c>
      <c r="C13" s="59">
        <v>84</v>
      </c>
      <c r="D13" s="37"/>
      <c r="E13" s="34"/>
      <c r="F13" s="45"/>
      <c r="G13" s="37">
        <f>195+166+173+154+161+156</f>
        <v>1005</v>
      </c>
      <c r="H13" s="34">
        <v>10</v>
      </c>
      <c r="I13" s="45">
        <v>3</v>
      </c>
      <c r="J13" s="13">
        <f>175+144+168+157+226+247</f>
        <v>1117</v>
      </c>
      <c r="K13" s="49">
        <v>3</v>
      </c>
      <c r="L13" s="53">
        <v>10</v>
      </c>
      <c r="M13" s="12">
        <f t="shared" si="0"/>
        <v>97</v>
      </c>
      <c r="N13" s="9"/>
    </row>
    <row r="14" spans="1:14" ht="18.75" customHeight="1">
      <c r="A14" s="5">
        <v>7</v>
      </c>
      <c r="B14" s="71" t="s">
        <v>18</v>
      </c>
      <c r="C14" s="59">
        <v>68</v>
      </c>
      <c r="D14" s="37">
        <f>184+180+171+193+161+211</f>
        <v>1100</v>
      </c>
      <c r="E14" s="34">
        <v>4</v>
      </c>
      <c r="F14" s="45">
        <v>8</v>
      </c>
      <c r="G14" s="37">
        <f>169+174+190+135+192+178</f>
        <v>1038</v>
      </c>
      <c r="H14" s="34">
        <v>7</v>
      </c>
      <c r="I14" s="45">
        <v>6</v>
      </c>
      <c r="J14" s="13">
        <f>169+148+213+143+174+189</f>
        <v>1036</v>
      </c>
      <c r="K14" s="49">
        <v>7</v>
      </c>
      <c r="L14" s="53">
        <v>6</v>
      </c>
      <c r="M14" s="12">
        <f t="shared" si="0"/>
        <v>88</v>
      </c>
      <c r="N14" s="9"/>
    </row>
    <row r="15" spans="1:14" ht="18.75" customHeight="1">
      <c r="A15" s="5">
        <v>8</v>
      </c>
      <c r="B15" s="71" t="s">
        <v>33</v>
      </c>
      <c r="C15" s="59">
        <v>83</v>
      </c>
      <c r="D15" s="37"/>
      <c r="E15" s="34"/>
      <c r="F15" s="45"/>
      <c r="G15" s="37"/>
      <c r="H15" s="34"/>
      <c r="I15" s="45"/>
      <c r="J15" s="13"/>
      <c r="K15" s="49"/>
      <c r="L15" s="53"/>
      <c r="M15" s="12">
        <f t="shared" si="0"/>
        <v>83</v>
      </c>
      <c r="N15" s="9"/>
    </row>
    <row r="16" spans="1:13" ht="18.75" customHeight="1">
      <c r="A16" s="5">
        <v>9</v>
      </c>
      <c r="B16" s="71" t="s">
        <v>12</v>
      </c>
      <c r="C16" s="59">
        <v>59</v>
      </c>
      <c r="D16" s="37">
        <f>186+179+193+168+183+181</f>
        <v>1090</v>
      </c>
      <c r="E16" s="34">
        <v>6</v>
      </c>
      <c r="F16" s="45">
        <v>6</v>
      </c>
      <c r="G16" s="37">
        <f>129+165+144+171+173+172</f>
        <v>954</v>
      </c>
      <c r="H16" s="34">
        <v>11</v>
      </c>
      <c r="I16" s="45">
        <v>2</v>
      </c>
      <c r="J16" s="13">
        <f>141+205+232+187+148+168</f>
        <v>1081</v>
      </c>
      <c r="K16" s="49">
        <v>5</v>
      </c>
      <c r="L16" s="53">
        <v>8</v>
      </c>
      <c r="M16" s="12">
        <f t="shared" si="0"/>
        <v>75</v>
      </c>
    </row>
    <row r="17" spans="1:13" ht="18.75" customHeight="1">
      <c r="A17" s="5">
        <v>10</v>
      </c>
      <c r="B17" s="71" t="s">
        <v>27</v>
      </c>
      <c r="C17" s="59">
        <v>75</v>
      </c>
      <c r="D17" s="37"/>
      <c r="E17" s="34"/>
      <c r="F17" s="45"/>
      <c r="G17" s="37"/>
      <c r="H17" s="34"/>
      <c r="I17" s="45"/>
      <c r="J17" s="13"/>
      <c r="K17" s="49"/>
      <c r="L17" s="53"/>
      <c r="M17" s="12">
        <f t="shared" si="0"/>
        <v>75</v>
      </c>
    </row>
    <row r="18" spans="1:13" ht="18.75" customHeight="1">
      <c r="A18" s="4">
        <v>11</v>
      </c>
      <c r="B18" s="71" t="s">
        <v>6</v>
      </c>
      <c r="C18" s="60">
        <v>40</v>
      </c>
      <c r="D18" s="38">
        <f>188+163+201+178+129+124</f>
        <v>983</v>
      </c>
      <c r="E18" s="35">
        <v>9</v>
      </c>
      <c r="F18" s="46">
        <v>3</v>
      </c>
      <c r="G18" s="38">
        <f>154+166+179+172+192+171</f>
        <v>1034</v>
      </c>
      <c r="H18" s="35">
        <v>8</v>
      </c>
      <c r="I18" s="46">
        <v>5</v>
      </c>
      <c r="J18" s="14">
        <f>124+148+180+202+124+163</f>
        <v>941</v>
      </c>
      <c r="K18" s="50">
        <v>9</v>
      </c>
      <c r="L18" s="54">
        <v>4</v>
      </c>
      <c r="M18" s="12">
        <f t="shared" si="0"/>
        <v>52</v>
      </c>
    </row>
    <row r="19" spans="1:13" ht="18.75" customHeight="1">
      <c r="A19" s="5">
        <v>12</v>
      </c>
      <c r="B19" s="12" t="s">
        <v>34</v>
      </c>
      <c r="C19" s="60">
        <v>33</v>
      </c>
      <c r="D19" s="38">
        <f>172+159+176+164+216+201</f>
        <v>1088</v>
      </c>
      <c r="E19" s="35">
        <v>7</v>
      </c>
      <c r="F19" s="46">
        <v>5</v>
      </c>
      <c r="G19" s="38">
        <f>121+122+144+163+130+179</f>
        <v>859</v>
      </c>
      <c r="H19" s="35">
        <v>12</v>
      </c>
      <c r="I19" s="46">
        <v>1</v>
      </c>
      <c r="J19" s="14">
        <f>189+209+154+186+185+161</f>
        <v>1084</v>
      </c>
      <c r="K19" s="50">
        <v>4</v>
      </c>
      <c r="L19" s="54">
        <v>9</v>
      </c>
      <c r="M19" s="12">
        <f t="shared" si="0"/>
        <v>48</v>
      </c>
    </row>
    <row r="20" spans="1:13" ht="18.75" customHeight="1">
      <c r="A20" s="5">
        <v>13</v>
      </c>
      <c r="B20" s="71" t="s">
        <v>50</v>
      </c>
      <c r="C20" s="60">
        <v>39</v>
      </c>
      <c r="D20" s="38">
        <f>139+189+189+160+155+145</f>
        <v>977</v>
      </c>
      <c r="E20" s="35">
        <v>10</v>
      </c>
      <c r="F20" s="46">
        <v>2</v>
      </c>
      <c r="G20" s="38">
        <f>169+163+192+210+183+127</f>
        <v>1044</v>
      </c>
      <c r="H20" s="35">
        <v>6</v>
      </c>
      <c r="I20" s="46">
        <v>7</v>
      </c>
      <c r="J20" s="14"/>
      <c r="K20" s="50"/>
      <c r="L20" s="54"/>
      <c r="M20" s="12">
        <f t="shared" si="0"/>
        <v>48</v>
      </c>
    </row>
    <row r="21" spans="1:13" ht="18.75" customHeight="1">
      <c r="A21" s="5">
        <v>14</v>
      </c>
      <c r="B21" s="12" t="s">
        <v>9</v>
      </c>
      <c r="C21" s="60">
        <v>37</v>
      </c>
      <c r="D21" s="38"/>
      <c r="E21" s="14"/>
      <c r="F21" s="46"/>
      <c r="G21" s="38"/>
      <c r="H21" s="35"/>
      <c r="I21" s="46"/>
      <c r="J21" s="14"/>
      <c r="K21" s="50"/>
      <c r="L21" s="54"/>
      <c r="M21" s="12">
        <f t="shared" si="0"/>
        <v>37</v>
      </c>
    </row>
    <row r="22" spans="1:13" ht="18.75" customHeight="1">
      <c r="A22" s="5">
        <v>15</v>
      </c>
      <c r="B22" s="12" t="s">
        <v>49</v>
      </c>
      <c r="C22" s="60">
        <v>26</v>
      </c>
      <c r="D22" s="38"/>
      <c r="E22" s="35"/>
      <c r="F22" s="46"/>
      <c r="G22" s="38"/>
      <c r="H22" s="35"/>
      <c r="I22" s="46"/>
      <c r="J22" s="14"/>
      <c r="K22" s="50"/>
      <c r="L22" s="54"/>
      <c r="M22" s="12">
        <f t="shared" si="0"/>
        <v>26</v>
      </c>
    </row>
    <row r="23" spans="1:13" ht="18.75" customHeight="1">
      <c r="A23" s="5">
        <v>16</v>
      </c>
      <c r="B23" s="12" t="s">
        <v>13</v>
      </c>
      <c r="C23" s="60">
        <v>11</v>
      </c>
      <c r="D23" s="38"/>
      <c r="E23" s="14"/>
      <c r="F23" s="46"/>
      <c r="G23" s="38">
        <f>143+230+183+194+185+211</f>
        <v>1146</v>
      </c>
      <c r="H23" s="35">
        <v>3</v>
      </c>
      <c r="I23" s="46">
        <v>10</v>
      </c>
      <c r="J23" s="14">
        <f>221+115+116+152+146+131</f>
        <v>881</v>
      </c>
      <c r="K23" s="50">
        <v>12</v>
      </c>
      <c r="L23" s="54">
        <v>1</v>
      </c>
      <c r="M23" s="12">
        <f t="shared" si="0"/>
        <v>22</v>
      </c>
    </row>
    <row r="24" spans="1:13" ht="18.75" customHeight="1">
      <c r="A24" s="6">
        <v>17</v>
      </c>
      <c r="B24" s="12" t="s">
        <v>35</v>
      </c>
      <c r="C24" s="60">
        <v>17</v>
      </c>
      <c r="D24" s="38">
        <f>123+185+174+144+149+136</f>
        <v>911</v>
      </c>
      <c r="E24" s="64">
        <v>11</v>
      </c>
      <c r="F24" s="46">
        <v>1</v>
      </c>
      <c r="G24" s="38"/>
      <c r="H24" s="35"/>
      <c r="I24" s="46"/>
      <c r="J24" s="14">
        <f>165+147+137+146+137+168</f>
        <v>900</v>
      </c>
      <c r="K24" s="50">
        <v>10</v>
      </c>
      <c r="L24" s="54">
        <v>3</v>
      </c>
      <c r="M24" s="12">
        <f t="shared" si="0"/>
        <v>21</v>
      </c>
    </row>
    <row r="25" spans="1:13" ht="18.75" customHeight="1">
      <c r="A25" s="6">
        <v>18</v>
      </c>
      <c r="B25" s="110" t="s">
        <v>7</v>
      </c>
      <c r="C25" s="60">
        <v>19</v>
      </c>
      <c r="D25" s="38"/>
      <c r="E25" s="35"/>
      <c r="F25" s="46"/>
      <c r="G25" s="38"/>
      <c r="H25" s="35"/>
      <c r="I25" s="46"/>
      <c r="J25" s="14"/>
      <c r="K25" s="50"/>
      <c r="L25" s="54"/>
      <c r="M25" s="12">
        <f t="shared" si="0"/>
        <v>19</v>
      </c>
    </row>
    <row r="26" spans="1:13" ht="18.75" customHeight="1">
      <c r="A26" s="6">
        <v>19</v>
      </c>
      <c r="B26" s="15" t="s">
        <v>11</v>
      </c>
      <c r="C26" s="60">
        <v>18</v>
      </c>
      <c r="D26" s="38"/>
      <c r="E26" s="35"/>
      <c r="F26" s="46"/>
      <c r="G26" s="38"/>
      <c r="H26" s="35"/>
      <c r="I26" s="46"/>
      <c r="J26" s="14"/>
      <c r="K26" s="50"/>
      <c r="L26" s="54"/>
      <c r="M26" s="12">
        <f t="shared" si="0"/>
        <v>18</v>
      </c>
    </row>
    <row r="27" spans="1:13" ht="18.75" customHeight="1">
      <c r="A27" s="6">
        <v>20</v>
      </c>
      <c r="B27" s="15" t="s">
        <v>4</v>
      </c>
      <c r="C27" s="60">
        <v>17</v>
      </c>
      <c r="D27" s="29"/>
      <c r="E27" s="35"/>
      <c r="F27" s="46"/>
      <c r="G27" s="38"/>
      <c r="H27" s="35"/>
      <c r="I27" s="46"/>
      <c r="J27" s="14"/>
      <c r="K27" s="50"/>
      <c r="L27" s="54"/>
      <c r="M27" s="12">
        <f t="shared" si="0"/>
        <v>17</v>
      </c>
    </row>
    <row r="28" spans="1:13" ht="18.75" customHeight="1">
      <c r="A28" s="6">
        <v>21</v>
      </c>
      <c r="B28" s="15" t="s">
        <v>53</v>
      </c>
      <c r="C28" s="60">
        <v>16</v>
      </c>
      <c r="D28" s="38"/>
      <c r="E28" s="14"/>
      <c r="F28" s="46"/>
      <c r="G28" s="38"/>
      <c r="H28" s="35"/>
      <c r="I28" s="46"/>
      <c r="J28" s="14"/>
      <c r="K28" s="50"/>
      <c r="L28" s="54"/>
      <c r="M28" s="12">
        <f t="shared" si="0"/>
        <v>16</v>
      </c>
    </row>
    <row r="29" spans="1:13" ht="18.75" customHeight="1">
      <c r="A29" s="6">
        <v>22</v>
      </c>
      <c r="B29" s="15" t="s">
        <v>51</v>
      </c>
      <c r="C29" s="60">
        <v>14</v>
      </c>
      <c r="D29" s="38"/>
      <c r="E29" s="14"/>
      <c r="F29" s="46"/>
      <c r="G29" s="38"/>
      <c r="H29" s="35"/>
      <c r="I29" s="46"/>
      <c r="J29" s="14"/>
      <c r="K29" s="50"/>
      <c r="L29" s="54"/>
      <c r="M29" s="12">
        <f t="shared" si="0"/>
        <v>14</v>
      </c>
    </row>
    <row r="30" spans="1:13" ht="18.75" customHeight="1">
      <c r="A30" s="6">
        <v>23</v>
      </c>
      <c r="B30" s="15" t="s">
        <v>52</v>
      </c>
      <c r="C30" s="60">
        <v>12</v>
      </c>
      <c r="D30" s="38"/>
      <c r="E30" s="14"/>
      <c r="F30" s="46"/>
      <c r="G30" s="38"/>
      <c r="H30" s="35"/>
      <c r="I30" s="46"/>
      <c r="J30" s="14"/>
      <c r="K30" s="50"/>
      <c r="L30" s="54"/>
      <c r="M30" s="12">
        <f t="shared" si="0"/>
        <v>12</v>
      </c>
    </row>
    <row r="31" spans="1:13" ht="18.75" customHeight="1">
      <c r="A31" s="6">
        <v>24</v>
      </c>
      <c r="B31" s="15" t="s">
        <v>48</v>
      </c>
      <c r="C31" s="60">
        <v>7</v>
      </c>
      <c r="D31" s="29"/>
      <c r="E31" s="14"/>
      <c r="F31" s="46"/>
      <c r="G31" s="38"/>
      <c r="H31" s="35"/>
      <c r="I31" s="46"/>
      <c r="J31" s="14"/>
      <c r="K31" s="50"/>
      <c r="L31" s="54"/>
      <c r="M31" s="12">
        <f t="shared" si="0"/>
        <v>7</v>
      </c>
    </row>
    <row r="32" spans="1:13" ht="18.75" customHeight="1" thickBot="1">
      <c r="A32" s="7">
        <v>25</v>
      </c>
      <c r="B32" s="16" t="s">
        <v>36</v>
      </c>
      <c r="C32" s="61">
        <v>3</v>
      </c>
      <c r="D32" s="43"/>
      <c r="E32" s="40"/>
      <c r="F32" s="56"/>
      <c r="G32" s="43"/>
      <c r="H32" s="40"/>
      <c r="I32" s="56"/>
      <c r="J32" s="17"/>
      <c r="K32" s="51"/>
      <c r="L32" s="55"/>
      <c r="M32" s="16">
        <f t="shared" si="0"/>
        <v>3</v>
      </c>
    </row>
    <row r="33" spans="2:10" ht="18.75">
      <c r="B33" s="8"/>
      <c r="C33" s="62"/>
      <c r="D33" s="9"/>
      <c r="E33" s="9"/>
      <c r="F33" s="9"/>
      <c r="G33" s="9"/>
      <c r="H33" s="41"/>
      <c r="I33" s="9"/>
      <c r="J33" s="9"/>
    </row>
  </sheetData>
  <sheetProtection/>
  <mergeCells count="4">
    <mergeCell ref="A1:M1"/>
    <mergeCell ref="A2:M2"/>
    <mergeCell ref="A3:M3"/>
    <mergeCell ref="A4:M4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4" width="8.7109375" style="0" customWidth="1"/>
    <col min="5" max="5" width="8.7109375" style="42" customWidth="1"/>
    <col min="6" max="7" width="8.7109375" style="0" customWidth="1"/>
    <col min="8" max="8" width="8.7109375" style="42" customWidth="1"/>
    <col min="9" max="12" width="8.7109375" style="0" customWidth="1"/>
    <col min="13" max="13" width="9.140625" style="0" customWidth="1"/>
  </cols>
  <sheetData>
    <row r="1" spans="1:13" ht="23.25">
      <c r="A1" s="183" t="s">
        <v>47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s="18" customFormat="1" ht="18.75">
      <c r="A2" s="185" t="s">
        <v>21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8.75" customHeight="1">
      <c r="A3" s="185" t="s">
        <v>30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7.25" customHeight="1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9.7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4:12" ht="19.5" customHeight="1" thickBot="1">
      <c r="D6" s="24"/>
      <c r="E6" s="27">
        <v>42494</v>
      </c>
      <c r="F6" s="26"/>
      <c r="G6" s="24"/>
      <c r="H6" s="27">
        <v>42501</v>
      </c>
      <c r="I6" s="26"/>
      <c r="J6" s="25"/>
      <c r="K6" s="27">
        <v>42508</v>
      </c>
      <c r="L6" s="26"/>
    </row>
    <row r="7" spans="1:13" s="3" customFormat="1" ht="19.5" customHeight="1" thickBot="1">
      <c r="A7" s="2" t="s">
        <v>1</v>
      </c>
      <c r="B7" s="2" t="s">
        <v>15</v>
      </c>
      <c r="C7" s="65" t="s">
        <v>31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28" t="s">
        <v>2</v>
      </c>
    </row>
    <row r="8" spans="1:14" ht="18" customHeight="1">
      <c r="A8" s="4">
        <v>1</v>
      </c>
      <c r="B8" s="87" t="s">
        <v>5</v>
      </c>
      <c r="C8" s="58">
        <v>183</v>
      </c>
      <c r="D8" s="36">
        <f>247+199+201+206+182+224</f>
        <v>1259</v>
      </c>
      <c r="E8" s="33">
        <v>3</v>
      </c>
      <c r="F8" s="44">
        <v>11</v>
      </c>
      <c r="G8" s="36">
        <f>212+163+177+235+203+183</f>
        <v>1173</v>
      </c>
      <c r="H8" s="33">
        <v>5</v>
      </c>
      <c r="I8" s="44">
        <v>7</v>
      </c>
      <c r="J8" s="11">
        <f>235+202+196+172+163+223</f>
        <v>1191</v>
      </c>
      <c r="K8" s="48">
        <v>4</v>
      </c>
      <c r="L8" s="52">
        <v>10</v>
      </c>
      <c r="M8" s="10">
        <f aca="true" t="shared" si="0" ref="M8:M32">F8+I8+L8+C8</f>
        <v>211</v>
      </c>
      <c r="N8" s="9"/>
    </row>
    <row r="9" spans="1:14" ht="18" customHeight="1">
      <c r="A9" s="5">
        <v>2</v>
      </c>
      <c r="B9" s="71" t="s">
        <v>3</v>
      </c>
      <c r="C9" s="59">
        <v>150</v>
      </c>
      <c r="D9" s="37">
        <f>197+203+226+222+254+179</f>
        <v>1281</v>
      </c>
      <c r="E9" s="34">
        <v>2</v>
      </c>
      <c r="F9" s="45">
        <v>13</v>
      </c>
      <c r="G9" s="37">
        <f>149+207+195+205+194+234</f>
        <v>1184</v>
      </c>
      <c r="H9" s="34">
        <v>4</v>
      </c>
      <c r="I9" s="45">
        <v>8</v>
      </c>
      <c r="J9" s="13">
        <f>276+209+192+201+224+211</f>
        <v>1313</v>
      </c>
      <c r="K9" s="49">
        <v>2</v>
      </c>
      <c r="L9" s="53">
        <v>13</v>
      </c>
      <c r="M9" s="12">
        <f t="shared" si="0"/>
        <v>184</v>
      </c>
      <c r="N9" s="9"/>
    </row>
    <row r="10" spans="1:14" ht="18" customHeight="1">
      <c r="A10" s="5">
        <v>3</v>
      </c>
      <c r="B10" s="71" t="s">
        <v>10</v>
      </c>
      <c r="C10" s="59">
        <v>143</v>
      </c>
      <c r="D10" s="37">
        <f>178+170+180+153+172+201</f>
        <v>1054</v>
      </c>
      <c r="E10" s="34">
        <v>9</v>
      </c>
      <c r="F10" s="45">
        <v>5</v>
      </c>
      <c r="G10" s="37">
        <f>179+224+196+214+192+181</f>
        <v>1186</v>
      </c>
      <c r="H10" s="34">
        <v>3</v>
      </c>
      <c r="I10" s="45">
        <v>9</v>
      </c>
      <c r="J10" s="13">
        <f>184+169+203+183+158+202</f>
        <v>1099</v>
      </c>
      <c r="K10" s="49">
        <v>9</v>
      </c>
      <c r="L10" s="53">
        <v>5</v>
      </c>
      <c r="M10" s="12">
        <f t="shared" si="0"/>
        <v>162</v>
      </c>
      <c r="N10" s="9"/>
    </row>
    <row r="11" spans="1:14" ht="18" customHeight="1">
      <c r="A11" s="5">
        <v>4</v>
      </c>
      <c r="B11" s="71" t="s">
        <v>22</v>
      </c>
      <c r="C11" s="59">
        <v>125</v>
      </c>
      <c r="D11" s="37"/>
      <c r="E11" s="34"/>
      <c r="F11" s="45"/>
      <c r="G11" s="37">
        <f>125+191+190+199+142+169</f>
        <v>1016</v>
      </c>
      <c r="H11" s="34">
        <v>11</v>
      </c>
      <c r="I11" s="45">
        <v>1</v>
      </c>
      <c r="J11" s="13">
        <f>232+204+180+253+170+146</f>
        <v>1185</v>
      </c>
      <c r="K11" s="49">
        <v>5</v>
      </c>
      <c r="L11" s="53">
        <v>9</v>
      </c>
      <c r="M11" s="12">
        <f t="shared" si="0"/>
        <v>135</v>
      </c>
      <c r="N11" s="9"/>
    </row>
    <row r="12" spans="1:14" ht="18" customHeight="1">
      <c r="A12" s="5">
        <v>5</v>
      </c>
      <c r="B12" s="71" t="s">
        <v>14</v>
      </c>
      <c r="C12" s="59">
        <v>100</v>
      </c>
      <c r="D12" s="37">
        <f>225+188+198+219+267+195</f>
        <v>1292</v>
      </c>
      <c r="E12" s="34">
        <v>1</v>
      </c>
      <c r="F12" s="45">
        <v>16</v>
      </c>
      <c r="G12" s="37">
        <f>140+225+211+193+203+172</f>
        <v>1144</v>
      </c>
      <c r="H12" s="34">
        <v>6</v>
      </c>
      <c r="I12" s="45">
        <v>6</v>
      </c>
      <c r="J12" s="13">
        <f>248+238+181+148+176+204</f>
        <v>1195</v>
      </c>
      <c r="K12" s="49">
        <v>3</v>
      </c>
      <c r="L12" s="53">
        <v>11</v>
      </c>
      <c r="M12" s="12">
        <f t="shared" si="0"/>
        <v>133</v>
      </c>
      <c r="N12" s="9"/>
    </row>
    <row r="13" spans="1:14" ht="18" customHeight="1">
      <c r="A13" s="5">
        <v>6</v>
      </c>
      <c r="B13" s="71" t="s">
        <v>20</v>
      </c>
      <c r="C13" s="59">
        <v>97</v>
      </c>
      <c r="D13" s="37">
        <f>202+184+183+225+137+147</f>
        <v>1078</v>
      </c>
      <c r="E13" s="34">
        <v>7</v>
      </c>
      <c r="F13" s="45">
        <v>7</v>
      </c>
      <c r="G13" s="37">
        <f>188+159+170+158+183+179</f>
        <v>1037</v>
      </c>
      <c r="H13" s="34">
        <v>9</v>
      </c>
      <c r="I13" s="45">
        <v>3</v>
      </c>
      <c r="J13" s="13">
        <f>169+225+215+192+164+166</f>
        <v>1131</v>
      </c>
      <c r="K13" s="49">
        <v>7</v>
      </c>
      <c r="L13" s="53">
        <v>7</v>
      </c>
      <c r="M13" s="12">
        <f t="shared" si="0"/>
        <v>114</v>
      </c>
      <c r="N13" s="9"/>
    </row>
    <row r="14" spans="1:14" ht="18" customHeight="1">
      <c r="A14" s="5">
        <v>7</v>
      </c>
      <c r="B14" s="71" t="s">
        <v>33</v>
      </c>
      <c r="C14" s="59">
        <v>83</v>
      </c>
      <c r="D14" s="37">
        <f>216+211+205+142+163+193</f>
        <v>1130</v>
      </c>
      <c r="E14" s="34">
        <v>5</v>
      </c>
      <c r="F14" s="45">
        <v>9</v>
      </c>
      <c r="G14" s="37">
        <f>191+154+209+200+267+203</f>
        <v>1224</v>
      </c>
      <c r="H14" s="34">
        <v>2</v>
      </c>
      <c r="I14" s="45">
        <v>11</v>
      </c>
      <c r="J14" s="13">
        <f>163+199+159+232+157+146</f>
        <v>1056</v>
      </c>
      <c r="K14" s="49">
        <v>12</v>
      </c>
      <c r="L14" s="53">
        <v>2</v>
      </c>
      <c r="M14" s="12">
        <f t="shared" si="0"/>
        <v>105</v>
      </c>
      <c r="N14" s="9"/>
    </row>
    <row r="15" spans="1:14" ht="18" customHeight="1">
      <c r="A15" s="5">
        <v>8</v>
      </c>
      <c r="B15" s="71" t="s">
        <v>18</v>
      </c>
      <c r="C15" s="59">
        <v>88</v>
      </c>
      <c r="D15" s="37">
        <f>175+192+158+191+144+173</f>
        <v>1033</v>
      </c>
      <c r="E15" s="34">
        <v>10</v>
      </c>
      <c r="F15" s="45">
        <v>4</v>
      </c>
      <c r="G15" s="37"/>
      <c r="H15" s="34"/>
      <c r="I15" s="45"/>
      <c r="J15" s="13">
        <f>154+182+145+173+188+233</f>
        <v>1075</v>
      </c>
      <c r="K15" s="49">
        <v>10</v>
      </c>
      <c r="L15" s="53">
        <v>4</v>
      </c>
      <c r="M15" s="12">
        <f t="shared" si="0"/>
        <v>96</v>
      </c>
      <c r="N15" s="9"/>
    </row>
    <row r="16" spans="1:13" ht="18" customHeight="1">
      <c r="A16" s="5">
        <v>9</v>
      </c>
      <c r="B16" s="71" t="s">
        <v>12</v>
      </c>
      <c r="C16" s="59">
        <v>75</v>
      </c>
      <c r="D16" s="37">
        <f>138+166+148+177+141+182</f>
        <v>952</v>
      </c>
      <c r="E16" s="34">
        <v>11</v>
      </c>
      <c r="F16" s="45">
        <v>3</v>
      </c>
      <c r="G16" s="37">
        <f>183+181+192+191+154+189</f>
        <v>1090</v>
      </c>
      <c r="H16" s="34">
        <v>7</v>
      </c>
      <c r="I16" s="45">
        <v>5</v>
      </c>
      <c r="J16" s="13">
        <f>192+172+166+181+258+151</f>
        <v>1120</v>
      </c>
      <c r="K16" s="49">
        <v>8</v>
      </c>
      <c r="L16" s="53">
        <v>6</v>
      </c>
      <c r="M16" s="12">
        <f t="shared" si="0"/>
        <v>89</v>
      </c>
    </row>
    <row r="17" spans="1:13" ht="18" customHeight="1">
      <c r="A17" s="5">
        <v>10</v>
      </c>
      <c r="B17" s="71" t="s">
        <v>27</v>
      </c>
      <c r="C17" s="59">
        <v>75</v>
      </c>
      <c r="D17" s="37"/>
      <c r="E17" s="34"/>
      <c r="F17" s="45"/>
      <c r="G17" s="37"/>
      <c r="H17" s="34"/>
      <c r="I17" s="45"/>
      <c r="J17" s="13"/>
      <c r="K17" s="49"/>
      <c r="L17" s="53"/>
      <c r="M17" s="12">
        <f t="shared" si="0"/>
        <v>75</v>
      </c>
    </row>
    <row r="18" spans="1:13" ht="18" customHeight="1">
      <c r="A18" s="4">
        <v>11</v>
      </c>
      <c r="B18" s="12" t="s">
        <v>9</v>
      </c>
      <c r="C18" s="60">
        <v>37</v>
      </c>
      <c r="D18" s="38"/>
      <c r="E18" s="35"/>
      <c r="F18" s="46"/>
      <c r="G18" s="38">
        <f>211+207+201+157+211+265</f>
        <v>1252</v>
      </c>
      <c r="H18" s="35">
        <v>1</v>
      </c>
      <c r="I18" s="46">
        <v>14</v>
      </c>
      <c r="J18" s="14">
        <f>279+230+215+227+204+192</f>
        <v>1347</v>
      </c>
      <c r="K18" s="50">
        <v>1</v>
      </c>
      <c r="L18" s="54">
        <v>16</v>
      </c>
      <c r="M18" s="12">
        <f t="shared" si="0"/>
        <v>67</v>
      </c>
    </row>
    <row r="19" spans="1:13" ht="18" customHeight="1">
      <c r="A19" s="5">
        <v>12</v>
      </c>
      <c r="B19" s="71" t="s">
        <v>6</v>
      </c>
      <c r="C19" s="60">
        <v>52</v>
      </c>
      <c r="D19" s="38">
        <f>148+210+175+192+188+182</f>
        <v>1095</v>
      </c>
      <c r="E19" s="35">
        <v>6</v>
      </c>
      <c r="F19" s="46">
        <v>8</v>
      </c>
      <c r="G19" s="38">
        <f>170+187+152+225+186+168</f>
        <v>1088</v>
      </c>
      <c r="H19" s="35">
        <v>8</v>
      </c>
      <c r="I19" s="46">
        <v>4</v>
      </c>
      <c r="J19" s="14">
        <f>152+223+161+182+147+136</f>
        <v>1001</v>
      </c>
      <c r="K19" s="50">
        <v>13</v>
      </c>
      <c r="L19" s="54">
        <v>1</v>
      </c>
      <c r="M19" s="12">
        <f t="shared" si="0"/>
        <v>65</v>
      </c>
    </row>
    <row r="20" spans="1:13" ht="18" customHeight="1">
      <c r="A20" s="5">
        <v>13</v>
      </c>
      <c r="B20" s="12" t="s">
        <v>34</v>
      </c>
      <c r="C20" s="60">
        <v>48</v>
      </c>
      <c r="D20" s="38">
        <f>164+200+180+171+180+171</f>
        <v>1066</v>
      </c>
      <c r="E20" s="35">
        <v>8</v>
      </c>
      <c r="F20" s="46">
        <v>6</v>
      </c>
      <c r="G20" s="38">
        <f>130+223+182+158+158+177</f>
        <v>1028</v>
      </c>
      <c r="H20" s="35">
        <v>10</v>
      </c>
      <c r="I20" s="46">
        <v>2</v>
      </c>
      <c r="J20" s="14">
        <f>217+222+161+162+206+203</f>
        <v>1171</v>
      </c>
      <c r="K20" s="50">
        <v>6</v>
      </c>
      <c r="L20" s="54">
        <v>8</v>
      </c>
      <c r="M20" s="12">
        <f t="shared" si="0"/>
        <v>64</v>
      </c>
    </row>
    <row r="21" spans="1:13" ht="18" customHeight="1">
      <c r="A21" s="5">
        <v>14</v>
      </c>
      <c r="B21" s="71" t="s">
        <v>50</v>
      </c>
      <c r="C21" s="60">
        <v>48</v>
      </c>
      <c r="D21" s="38">
        <f>119+171+138+164+154+151</f>
        <v>897</v>
      </c>
      <c r="E21" s="35">
        <v>13</v>
      </c>
      <c r="F21" s="46">
        <v>1</v>
      </c>
      <c r="G21" s="38"/>
      <c r="H21" s="35"/>
      <c r="I21" s="46"/>
      <c r="J21" s="14"/>
      <c r="K21" s="50"/>
      <c r="L21" s="54"/>
      <c r="M21" s="12">
        <f t="shared" si="0"/>
        <v>49</v>
      </c>
    </row>
    <row r="22" spans="1:13" ht="18" customHeight="1">
      <c r="A22" s="5">
        <v>15</v>
      </c>
      <c r="B22" s="12" t="s">
        <v>13</v>
      </c>
      <c r="C22" s="60">
        <v>22</v>
      </c>
      <c r="D22" s="38">
        <f>256+172+209+159+164+192</f>
        <v>1152</v>
      </c>
      <c r="E22" s="35">
        <v>4</v>
      </c>
      <c r="F22" s="46">
        <v>10</v>
      </c>
      <c r="G22" s="38"/>
      <c r="H22" s="35"/>
      <c r="I22" s="46"/>
      <c r="J22" s="14">
        <f>160+224+170+168+202+149</f>
        <v>1073</v>
      </c>
      <c r="K22" s="50">
        <v>11</v>
      </c>
      <c r="L22" s="54">
        <v>3</v>
      </c>
      <c r="M22" s="12">
        <f t="shared" si="0"/>
        <v>35</v>
      </c>
    </row>
    <row r="23" spans="1:13" ht="18" customHeight="1">
      <c r="A23" s="5">
        <v>16</v>
      </c>
      <c r="B23" s="12" t="s">
        <v>49</v>
      </c>
      <c r="C23" s="60">
        <v>26</v>
      </c>
      <c r="D23" s="38"/>
      <c r="E23" s="35"/>
      <c r="F23" s="46"/>
      <c r="G23" s="38"/>
      <c r="H23" s="35"/>
      <c r="I23" s="46"/>
      <c r="J23" s="14"/>
      <c r="K23" s="50"/>
      <c r="L23" s="54"/>
      <c r="M23" s="12">
        <f t="shared" si="0"/>
        <v>26</v>
      </c>
    </row>
    <row r="24" spans="1:13" ht="18" customHeight="1">
      <c r="A24" s="6">
        <v>17</v>
      </c>
      <c r="B24" s="12" t="s">
        <v>35</v>
      </c>
      <c r="C24" s="60">
        <v>21</v>
      </c>
      <c r="D24" s="38">
        <f>164+153+157+109+186+152</f>
        <v>921</v>
      </c>
      <c r="E24" s="35">
        <v>12</v>
      </c>
      <c r="F24" s="46">
        <v>2</v>
      </c>
      <c r="G24" s="38"/>
      <c r="H24" s="35"/>
      <c r="I24" s="46"/>
      <c r="J24" s="14"/>
      <c r="K24" s="50"/>
      <c r="L24" s="54"/>
      <c r="M24" s="12">
        <f t="shared" si="0"/>
        <v>23</v>
      </c>
    </row>
    <row r="25" spans="1:13" ht="18" customHeight="1">
      <c r="A25" s="6">
        <v>18</v>
      </c>
      <c r="B25" s="110" t="s">
        <v>7</v>
      </c>
      <c r="C25" s="60">
        <v>19</v>
      </c>
      <c r="D25" s="38"/>
      <c r="E25" s="35"/>
      <c r="F25" s="46"/>
      <c r="G25" s="38"/>
      <c r="H25" s="35"/>
      <c r="I25" s="46"/>
      <c r="J25" s="14"/>
      <c r="K25" s="50"/>
      <c r="L25" s="54"/>
      <c r="M25" s="12">
        <f t="shared" si="0"/>
        <v>19</v>
      </c>
    </row>
    <row r="26" spans="1:13" ht="18" customHeight="1">
      <c r="A26" s="6">
        <v>19</v>
      </c>
      <c r="B26" s="15" t="s">
        <v>11</v>
      </c>
      <c r="C26" s="60">
        <v>18</v>
      </c>
      <c r="D26" s="29"/>
      <c r="E26" s="35"/>
      <c r="F26" s="46"/>
      <c r="G26" s="38"/>
      <c r="H26" s="35"/>
      <c r="I26" s="46"/>
      <c r="J26" s="14"/>
      <c r="K26" s="50"/>
      <c r="L26" s="54"/>
      <c r="M26" s="12">
        <f t="shared" si="0"/>
        <v>18</v>
      </c>
    </row>
    <row r="27" spans="1:13" ht="18" customHeight="1">
      <c r="A27" s="6">
        <v>20</v>
      </c>
      <c r="B27" s="15" t="s">
        <v>4</v>
      </c>
      <c r="C27" s="60">
        <v>17</v>
      </c>
      <c r="D27" s="38"/>
      <c r="E27" s="35"/>
      <c r="F27" s="46"/>
      <c r="G27" s="38"/>
      <c r="H27" s="35"/>
      <c r="I27" s="46"/>
      <c r="J27" s="14"/>
      <c r="K27" s="50"/>
      <c r="L27" s="54"/>
      <c r="M27" s="12">
        <f t="shared" si="0"/>
        <v>17</v>
      </c>
    </row>
    <row r="28" spans="1:13" ht="18" customHeight="1">
      <c r="A28" s="6">
        <v>21</v>
      </c>
      <c r="B28" s="15" t="s">
        <v>53</v>
      </c>
      <c r="C28" s="60">
        <v>16</v>
      </c>
      <c r="D28" s="38"/>
      <c r="E28" s="35"/>
      <c r="F28" s="46"/>
      <c r="G28" s="38"/>
      <c r="H28" s="35"/>
      <c r="I28" s="46"/>
      <c r="J28" s="14"/>
      <c r="K28" s="50"/>
      <c r="L28" s="54"/>
      <c r="M28" s="12">
        <f t="shared" si="0"/>
        <v>16</v>
      </c>
    </row>
    <row r="29" spans="1:13" ht="18" customHeight="1">
      <c r="A29" s="6">
        <v>22</v>
      </c>
      <c r="B29" s="15" t="s">
        <v>51</v>
      </c>
      <c r="C29" s="60">
        <v>14</v>
      </c>
      <c r="D29" s="38"/>
      <c r="E29" s="35"/>
      <c r="F29" s="46"/>
      <c r="G29" s="38"/>
      <c r="H29" s="35"/>
      <c r="I29" s="46"/>
      <c r="J29" s="14"/>
      <c r="K29" s="50"/>
      <c r="L29" s="54"/>
      <c r="M29" s="12">
        <f t="shared" si="0"/>
        <v>14</v>
      </c>
    </row>
    <row r="30" spans="1:13" ht="18" customHeight="1">
      <c r="A30" s="6">
        <v>23</v>
      </c>
      <c r="B30" s="15" t="s">
        <v>52</v>
      </c>
      <c r="C30" s="60">
        <v>12</v>
      </c>
      <c r="D30" s="38"/>
      <c r="E30" s="35"/>
      <c r="F30" s="46"/>
      <c r="G30" s="38"/>
      <c r="H30" s="35"/>
      <c r="I30" s="46"/>
      <c r="J30" s="14"/>
      <c r="K30" s="50"/>
      <c r="L30" s="54"/>
      <c r="M30" s="12">
        <f t="shared" si="0"/>
        <v>12</v>
      </c>
    </row>
    <row r="31" spans="1:13" ht="18" customHeight="1">
      <c r="A31" s="6">
        <v>24</v>
      </c>
      <c r="B31" s="15" t="s">
        <v>48</v>
      </c>
      <c r="C31" s="60">
        <v>7</v>
      </c>
      <c r="D31" s="29"/>
      <c r="E31" s="35"/>
      <c r="F31" s="46"/>
      <c r="G31" s="38"/>
      <c r="H31" s="35"/>
      <c r="I31" s="46"/>
      <c r="J31" s="14"/>
      <c r="K31" s="50"/>
      <c r="L31" s="54"/>
      <c r="M31" s="12">
        <f t="shared" si="0"/>
        <v>7</v>
      </c>
    </row>
    <row r="32" spans="1:13" ht="18" customHeight="1" thickBot="1">
      <c r="A32" s="7">
        <v>25</v>
      </c>
      <c r="B32" s="16" t="s">
        <v>36</v>
      </c>
      <c r="C32" s="61">
        <v>3</v>
      </c>
      <c r="D32" s="43"/>
      <c r="E32" s="40"/>
      <c r="F32" s="56"/>
      <c r="G32" s="43"/>
      <c r="H32" s="40"/>
      <c r="I32" s="56"/>
      <c r="J32" s="17"/>
      <c r="K32" s="51"/>
      <c r="L32" s="55"/>
      <c r="M32" s="16">
        <f t="shared" si="0"/>
        <v>3</v>
      </c>
    </row>
    <row r="33" spans="3:10" ht="15.75">
      <c r="C33" s="62"/>
      <c r="D33" s="9"/>
      <c r="E33" s="41"/>
      <c r="F33" s="9"/>
      <c r="G33" s="9"/>
      <c r="H33" s="41"/>
      <c r="I33" s="9"/>
      <c r="J33" s="9"/>
    </row>
  </sheetData>
  <sheetProtection/>
  <mergeCells count="4">
    <mergeCell ref="A1:M1"/>
    <mergeCell ref="A2:M2"/>
    <mergeCell ref="A3:M3"/>
    <mergeCell ref="A4:M4"/>
  </mergeCells>
  <printOptions/>
  <pageMargins left="0.7086614173228347" right="0.31496062992125984" top="0.15748031496062992" bottom="0.1574803149606299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4" width="8.7109375" style="0" customWidth="1"/>
    <col min="5" max="5" width="8.7109375" style="42" customWidth="1"/>
    <col min="6" max="7" width="8.7109375" style="0" customWidth="1"/>
    <col min="8" max="8" width="8.7109375" style="42" customWidth="1"/>
    <col min="9" max="12" width="8.7109375" style="0" customWidth="1"/>
    <col min="13" max="13" width="9.140625" style="0" customWidth="1"/>
  </cols>
  <sheetData>
    <row r="1" spans="1:13" ht="18" customHeight="1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s="18" customFormat="1" ht="16.5" customHeight="1">
      <c r="A2" s="185" t="s">
        <v>21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4.25" customHeight="1">
      <c r="A3" s="185" t="s">
        <v>32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2" customHeight="1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8.25" customHeight="1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4:12" ht="15" customHeight="1" thickBot="1">
      <c r="D6" s="24"/>
      <c r="E6" s="27">
        <v>42606</v>
      </c>
      <c r="F6" s="26"/>
      <c r="G6" s="24"/>
      <c r="H6" s="27">
        <v>42613</v>
      </c>
      <c r="I6" s="26"/>
      <c r="J6" s="25"/>
      <c r="K6" s="27">
        <v>42620</v>
      </c>
      <c r="L6" s="26"/>
    </row>
    <row r="7" spans="1:13" s="3" customFormat="1" ht="17.25" customHeight="1" thickBot="1">
      <c r="A7" s="2" t="s">
        <v>1</v>
      </c>
      <c r="B7" s="2" t="s">
        <v>15</v>
      </c>
      <c r="C7" s="65" t="s">
        <v>37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28" t="s">
        <v>2</v>
      </c>
    </row>
    <row r="8" spans="1:14" ht="18" customHeight="1">
      <c r="A8" s="108">
        <v>1</v>
      </c>
      <c r="B8" s="87" t="s">
        <v>5</v>
      </c>
      <c r="C8" s="58">
        <v>211</v>
      </c>
      <c r="D8" s="36">
        <f>257+144+191+183+193+112</f>
        <v>1080</v>
      </c>
      <c r="E8" s="33">
        <v>4</v>
      </c>
      <c r="F8" s="44">
        <v>9</v>
      </c>
      <c r="G8" s="36">
        <f>189+201+222+224+169+220</f>
        <v>1225</v>
      </c>
      <c r="H8" s="33">
        <v>1</v>
      </c>
      <c r="I8" s="44">
        <v>15</v>
      </c>
      <c r="J8" s="11">
        <f>219+206+191+195+210+222</f>
        <v>1243</v>
      </c>
      <c r="K8" s="48">
        <v>1</v>
      </c>
      <c r="L8" s="111">
        <v>15</v>
      </c>
      <c r="M8" s="10">
        <f aca="true" t="shared" si="0" ref="M8:M34">F8+I8+L8+C8</f>
        <v>250</v>
      </c>
      <c r="N8" s="9"/>
    </row>
    <row r="9" spans="1:14" ht="18" customHeight="1">
      <c r="A9" s="5">
        <v>2</v>
      </c>
      <c r="B9" s="71" t="s">
        <v>3</v>
      </c>
      <c r="C9" s="59">
        <v>184</v>
      </c>
      <c r="D9" s="37">
        <f>200+182+172+139+206+204</f>
        <v>1103</v>
      </c>
      <c r="E9" s="34">
        <v>2</v>
      </c>
      <c r="F9" s="45">
        <v>12</v>
      </c>
      <c r="G9" s="37">
        <f>187+196+191+180+218+189</f>
        <v>1161</v>
      </c>
      <c r="H9" s="34">
        <v>2</v>
      </c>
      <c r="I9" s="45">
        <v>12</v>
      </c>
      <c r="J9" s="13">
        <f>196+175+213+244+155+155</f>
        <v>1138</v>
      </c>
      <c r="K9" s="49">
        <v>3</v>
      </c>
      <c r="L9" s="112">
        <v>10</v>
      </c>
      <c r="M9" s="12">
        <f t="shared" si="0"/>
        <v>218</v>
      </c>
      <c r="N9" s="9"/>
    </row>
    <row r="10" spans="1:14" ht="18" customHeight="1">
      <c r="A10" s="5">
        <v>3</v>
      </c>
      <c r="B10" s="71" t="s">
        <v>10</v>
      </c>
      <c r="C10" s="59">
        <v>162</v>
      </c>
      <c r="D10" s="37">
        <f>238+159+165+191+156+214</f>
        <v>1123</v>
      </c>
      <c r="E10" s="34">
        <v>1</v>
      </c>
      <c r="F10" s="45">
        <v>15</v>
      </c>
      <c r="G10" s="37">
        <f>169+201+171+192+197+145</f>
        <v>1075</v>
      </c>
      <c r="H10" s="34">
        <v>4</v>
      </c>
      <c r="I10" s="45">
        <v>9</v>
      </c>
      <c r="J10" s="13">
        <f>176+159+197+175+168+166</f>
        <v>1041</v>
      </c>
      <c r="K10" s="49">
        <v>7</v>
      </c>
      <c r="L10" s="112">
        <v>6</v>
      </c>
      <c r="M10" s="12">
        <f t="shared" si="0"/>
        <v>192</v>
      </c>
      <c r="N10" s="9"/>
    </row>
    <row r="11" spans="1:14" ht="18" customHeight="1">
      <c r="A11" s="5">
        <v>4</v>
      </c>
      <c r="B11" s="71" t="s">
        <v>14</v>
      </c>
      <c r="C11" s="59">
        <v>133</v>
      </c>
      <c r="D11" s="37">
        <f>175+211+179+179+167+179</f>
        <v>1090</v>
      </c>
      <c r="E11" s="34">
        <v>3</v>
      </c>
      <c r="F11" s="45">
        <v>10</v>
      </c>
      <c r="G11" s="37">
        <f>192+174+165+162+163+159</f>
        <v>1015</v>
      </c>
      <c r="H11" s="34">
        <v>11</v>
      </c>
      <c r="I11" s="45">
        <v>2</v>
      </c>
      <c r="J11" s="13">
        <f>204+173+195+168+209+199</f>
        <v>1148</v>
      </c>
      <c r="K11" s="49">
        <v>2</v>
      </c>
      <c r="L11" s="112">
        <v>12</v>
      </c>
      <c r="M11" s="12">
        <f t="shared" si="0"/>
        <v>157</v>
      </c>
      <c r="N11" s="9"/>
    </row>
    <row r="12" spans="1:14" ht="18" customHeight="1">
      <c r="A12" s="5">
        <v>5</v>
      </c>
      <c r="B12" s="71" t="s">
        <v>22</v>
      </c>
      <c r="C12" s="59">
        <v>135</v>
      </c>
      <c r="D12" s="37">
        <f>162+164+157+172+166+139</f>
        <v>960</v>
      </c>
      <c r="E12" s="34">
        <v>9</v>
      </c>
      <c r="F12" s="45">
        <v>4</v>
      </c>
      <c r="G12" s="37"/>
      <c r="H12" s="34"/>
      <c r="I12" s="45"/>
      <c r="J12" s="13"/>
      <c r="K12" s="49"/>
      <c r="L12" s="112"/>
      <c r="M12" s="12">
        <f t="shared" si="0"/>
        <v>139</v>
      </c>
      <c r="N12" s="9"/>
    </row>
    <row r="13" spans="1:14" ht="18" customHeight="1">
      <c r="A13" s="5">
        <v>6</v>
      </c>
      <c r="B13" s="71" t="s">
        <v>20</v>
      </c>
      <c r="C13" s="59">
        <v>114</v>
      </c>
      <c r="D13" s="37">
        <f>193+178+159+193+213+129</f>
        <v>1065</v>
      </c>
      <c r="E13" s="34">
        <v>5</v>
      </c>
      <c r="F13" s="45">
        <v>8</v>
      </c>
      <c r="G13" s="37">
        <f>189+191+144+199+192+173</f>
        <v>1088</v>
      </c>
      <c r="H13" s="34">
        <v>3</v>
      </c>
      <c r="I13" s="45">
        <v>10</v>
      </c>
      <c r="J13" s="13">
        <f>175+196+139+147+161+185</f>
        <v>1003</v>
      </c>
      <c r="K13" s="49">
        <v>9</v>
      </c>
      <c r="L13" s="112">
        <v>4</v>
      </c>
      <c r="M13" s="12">
        <f t="shared" si="0"/>
        <v>136</v>
      </c>
      <c r="N13" s="9"/>
    </row>
    <row r="14" spans="1:14" ht="18" customHeight="1">
      <c r="A14" s="5">
        <v>7</v>
      </c>
      <c r="B14" s="71" t="s">
        <v>33</v>
      </c>
      <c r="C14" s="59">
        <v>105</v>
      </c>
      <c r="D14" s="37">
        <f>202+162+185+167+146+190</f>
        <v>1052</v>
      </c>
      <c r="E14" s="34">
        <v>6</v>
      </c>
      <c r="F14" s="45">
        <v>7</v>
      </c>
      <c r="G14" s="37">
        <f>171+191+167+184+183+145</f>
        <v>1041</v>
      </c>
      <c r="H14" s="34">
        <v>6</v>
      </c>
      <c r="I14" s="45">
        <v>7</v>
      </c>
      <c r="J14" s="13">
        <f>167+201+168+188+203+202</f>
        <v>1129</v>
      </c>
      <c r="K14" s="49">
        <v>4</v>
      </c>
      <c r="L14" s="112">
        <v>9</v>
      </c>
      <c r="M14" s="12">
        <f t="shared" si="0"/>
        <v>128</v>
      </c>
      <c r="N14" s="9"/>
    </row>
    <row r="15" spans="1:14" ht="18" customHeight="1">
      <c r="A15" s="5">
        <v>8</v>
      </c>
      <c r="B15" s="71" t="s">
        <v>18</v>
      </c>
      <c r="C15" s="59">
        <v>96</v>
      </c>
      <c r="D15" s="37">
        <f>134+168+196+150+150+181</f>
        <v>979</v>
      </c>
      <c r="E15" s="34">
        <v>8</v>
      </c>
      <c r="F15" s="45">
        <v>5</v>
      </c>
      <c r="G15" s="37">
        <f>179+221+160+186+125+146</f>
        <v>1017</v>
      </c>
      <c r="H15" s="34">
        <v>10</v>
      </c>
      <c r="I15" s="45">
        <v>3</v>
      </c>
      <c r="J15" s="13">
        <f>124+162+209+158+159+197</f>
        <v>1009</v>
      </c>
      <c r="K15" s="49">
        <v>8</v>
      </c>
      <c r="L15" s="112">
        <v>5</v>
      </c>
      <c r="M15" s="12">
        <f t="shared" si="0"/>
        <v>109</v>
      </c>
      <c r="N15" s="9"/>
    </row>
    <row r="16" spans="1:13" ht="18" customHeight="1">
      <c r="A16" s="5">
        <v>9</v>
      </c>
      <c r="B16" s="71" t="s">
        <v>12</v>
      </c>
      <c r="C16" s="59">
        <v>89</v>
      </c>
      <c r="D16" s="37">
        <f>167+155+166+193+116+186</f>
        <v>983</v>
      </c>
      <c r="E16" s="34">
        <v>7</v>
      </c>
      <c r="F16" s="45">
        <v>6</v>
      </c>
      <c r="G16" s="37">
        <f>202+133+182+157+164+179</f>
        <v>1017</v>
      </c>
      <c r="H16" s="34">
        <v>9</v>
      </c>
      <c r="I16" s="45">
        <v>4</v>
      </c>
      <c r="J16" s="13">
        <f>158+169+170+180+205+167</f>
        <v>1049</v>
      </c>
      <c r="K16" s="49">
        <v>6</v>
      </c>
      <c r="L16" s="112">
        <v>7</v>
      </c>
      <c r="M16" s="12">
        <f t="shared" si="0"/>
        <v>106</v>
      </c>
    </row>
    <row r="17" spans="1:13" ht="18" customHeight="1">
      <c r="A17" s="5">
        <v>10</v>
      </c>
      <c r="B17" s="71" t="s">
        <v>6</v>
      </c>
      <c r="C17" s="59">
        <v>65</v>
      </c>
      <c r="D17" s="37">
        <f>177+158+136+151+162+157</f>
        <v>941</v>
      </c>
      <c r="E17" s="34">
        <v>11</v>
      </c>
      <c r="F17" s="45">
        <v>2</v>
      </c>
      <c r="G17" s="37">
        <f>184+214+173+139+165+162</f>
        <v>1037</v>
      </c>
      <c r="H17" s="34">
        <v>7</v>
      </c>
      <c r="I17" s="45">
        <v>6</v>
      </c>
      <c r="J17" s="13">
        <f>161+182+218+175+158+192</f>
        <v>1086</v>
      </c>
      <c r="K17" s="49">
        <v>5</v>
      </c>
      <c r="L17" s="112">
        <v>8</v>
      </c>
      <c r="M17" s="12">
        <f t="shared" si="0"/>
        <v>81</v>
      </c>
    </row>
    <row r="18" spans="1:13" ht="18" customHeight="1">
      <c r="A18" s="4">
        <v>11</v>
      </c>
      <c r="B18" s="12" t="s">
        <v>34</v>
      </c>
      <c r="C18" s="60">
        <v>64</v>
      </c>
      <c r="D18" s="38">
        <f>165+158+167+117+187+163</f>
        <v>957</v>
      </c>
      <c r="E18" s="35">
        <v>10</v>
      </c>
      <c r="F18" s="46">
        <v>3</v>
      </c>
      <c r="G18" s="38">
        <f>145+166+224+161+180+170</f>
        <v>1046</v>
      </c>
      <c r="H18" s="35">
        <v>5</v>
      </c>
      <c r="I18" s="46">
        <v>8</v>
      </c>
      <c r="J18" s="14">
        <f>158+151+149+153+173+146</f>
        <v>930</v>
      </c>
      <c r="K18" s="50">
        <v>11</v>
      </c>
      <c r="L18" s="113">
        <v>2</v>
      </c>
      <c r="M18" s="12">
        <f t="shared" si="0"/>
        <v>77</v>
      </c>
    </row>
    <row r="19" spans="1:13" ht="18" customHeight="1">
      <c r="A19" s="5">
        <v>12</v>
      </c>
      <c r="B19" s="71" t="s">
        <v>27</v>
      </c>
      <c r="C19" s="60">
        <v>75</v>
      </c>
      <c r="D19" s="38"/>
      <c r="E19" s="35"/>
      <c r="F19" s="46"/>
      <c r="G19" s="38"/>
      <c r="H19" s="35"/>
      <c r="I19" s="46"/>
      <c r="J19" s="14"/>
      <c r="K19" s="50"/>
      <c r="L19" s="113"/>
      <c r="M19" s="12">
        <f t="shared" si="0"/>
        <v>75</v>
      </c>
    </row>
    <row r="20" spans="1:13" ht="18" customHeight="1">
      <c r="A20" s="5">
        <v>13</v>
      </c>
      <c r="B20" s="12" t="s">
        <v>9</v>
      </c>
      <c r="C20" s="60">
        <v>67</v>
      </c>
      <c r="D20" s="38"/>
      <c r="E20" s="35"/>
      <c r="F20" s="46"/>
      <c r="G20" s="38"/>
      <c r="H20" s="35"/>
      <c r="I20" s="46"/>
      <c r="J20" s="14"/>
      <c r="K20" s="50"/>
      <c r="L20" s="113"/>
      <c r="M20" s="12">
        <f t="shared" si="0"/>
        <v>67</v>
      </c>
    </row>
    <row r="21" spans="1:13" ht="18" customHeight="1">
      <c r="A21" s="5">
        <v>14</v>
      </c>
      <c r="B21" s="71" t="s">
        <v>50</v>
      </c>
      <c r="C21" s="60">
        <v>49</v>
      </c>
      <c r="D21" s="38">
        <f>113+156+158+137+105+143</f>
        <v>812</v>
      </c>
      <c r="E21" s="35">
        <v>12</v>
      </c>
      <c r="F21" s="46">
        <v>1</v>
      </c>
      <c r="G21" s="38">
        <f>124+159+133+189+150+134</f>
        <v>889</v>
      </c>
      <c r="H21" s="35">
        <v>12</v>
      </c>
      <c r="I21" s="46">
        <v>1</v>
      </c>
      <c r="J21" s="14"/>
      <c r="K21" s="50"/>
      <c r="L21" s="113"/>
      <c r="M21" s="12">
        <f t="shared" si="0"/>
        <v>51</v>
      </c>
    </row>
    <row r="22" spans="1:13" ht="18" customHeight="1">
      <c r="A22" s="5">
        <v>15</v>
      </c>
      <c r="B22" s="12" t="s">
        <v>13</v>
      </c>
      <c r="C22" s="60">
        <v>35</v>
      </c>
      <c r="D22" s="38"/>
      <c r="E22" s="35"/>
      <c r="F22" s="46"/>
      <c r="G22" s="38"/>
      <c r="H22" s="35"/>
      <c r="I22" s="46"/>
      <c r="J22" s="14">
        <f>149+177+170+164+140+192</f>
        <v>992</v>
      </c>
      <c r="K22" s="50">
        <v>10</v>
      </c>
      <c r="L22" s="113">
        <v>3</v>
      </c>
      <c r="M22" s="12">
        <f t="shared" si="0"/>
        <v>38</v>
      </c>
    </row>
    <row r="23" spans="1:13" ht="18" customHeight="1">
      <c r="A23" s="5">
        <v>16</v>
      </c>
      <c r="B23" s="12" t="s">
        <v>49</v>
      </c>
      <c r="C23" s="60">
        <v>26</v>
      </c>
      <c r="D23" s="38"/>
      <c r="E23" s="35"/>
      <c r="F23" s="46"/>
      <c r="G23" s="38"/>
      <c r="H23" s="35"/>
      <c r="I23" s="46"/>
      <c r="J23" s="14"/>
      <c r="K23" s="50"/>
      <c r="L23" s="113"/>
      <c r="M23" s="12">
        <f t="shared" si="0"/>
        <v>26</v>
      </c>
    </row>
    <row r="24" spans="1:13" ht="18" customHeight="1">
      <c r="A24" s="6">
        <v>17</v>
      </c>
      <c r="B24" s="12" t="s">
        <v>35</v>
      </c>
      <c r="C24" s="60">
        <v>23</v>
      </c>
      <c r="D24" s="38"/>
      <c r="E24" s="35"/>
      <c r="F24" s="46"/>
      <c r="G24" s="38"/>
      <c r="H24" s="35"/>
      <c r="I24" s="46"/>
      <c r="J24" s="14"/>
      <c r="K24" s="50"/>
      <c r="L24" s="113"/>
      <c r="M24" s="12">
        <f t="shared" si="0"/>
        <v>23</v>
      </c>
    </row>
    <row r="25" spans="1:13" ht="18" customHeight="1">
      <c r="A25" s="6">
        <v>18</v>
      </c>
      <c r="B25" s="110" t="s">
        <v>7</v>
      </c>
      <c r="C25" s="60">
        <v>19</v>
      </c>
      <c r="D25" s="38"/>
      <c r="E25" s="35"/>
      <c r="F25" s="46"/>
      <c r="G25" s="38"/>
      <c r="H25" s="35"/>
      <c r="I25" s="46"/>
      <c r="J25" s="14"/>
      <c r="K25" s="50"/>
      <c r="L25" s="113"/>
      <c r="M25" s="12">
        <f t="shared" si="0"/>
        <v>19</v>
      </c>
    </row>
    <row r="26" spans="1:13" ht="18" customHeight="1">
      <c r="A26" s="6">
        <v>19</v>
      </c>
      <c r="B26" s="15" t="s">
        <v>11</v>
      </c>
      <c r="C26" s="60">
        <v>18</v>
      </c>
      <c r="D26" s="29"/>
      <c r="E26" s="35"/>
      <c r="F26" s="46"/>
      <c r="G26" s="38"/>
      <c r="H26" s="35"/>
      <c r="I26" s="46"/>
      <c r="J26" s="14"/>
      <c r="K26" s="50"/>
      <c r="L26" s="113"/>
      <c r="M26" s="12">
        <f t="shared" si="0"/>
        <v>18</v>
      </c>
    </row>
    <row r="27" spans="1:13" ht="18" customHeight="1">
      <c r="A27" s="6">
        <v>20</v>
      </c>
      <c r="B27" s="15" t="s">
        <v>4</v>
      </c>
      <c r="C27" s="60">
        <v>17</v>
      </c>
      <c r="D27" s="38"/>
      <c r="E27" s="35"/>
      <c r="F27" s="46"/>
      <c r="G27" s="38"/>
      <c r="H27" s="35"/>
      <c r="I27" s="46"/>
      <c r="J27" s="14"/>
      <c r="K27" s="50"/>
      <c r="L27" s="113"/>
      <c r="M27" s="12">
        <f t="shared" si="0"/>
        <v>17</v>
      </c>
    </row>
    <row r="28" spans="1:13" ht="18" customHeight="1">
      <c r="A28" s="6">
        <v>21</v>
      </c>
      <c r="B28" s="15" t="s">
        <v>53</v>
      </c>
      <c r="C28" s="60">
        <v>16</v>
      </c>
      <c r="D28" s="38"/>
      <c r="E28" s="35"/>
      <c r="F28" s="46"/>
      <c r="G28" s="38"/>
      <c r="H28" s="35"/>
      <c r="I28" s="46"/>
      <c r="J28" s="14"/>
      <c r="K28" s="50"/>
      <c r="L28" s="113"/>
      <c r="M28" s="12">
        <f t="shared" si="0"/>
        <v>16</v>
      </c>
    </row>
    <row r="29" spans="1:13" ht="18" customHeight="1">
      <c r="A29" s="6">
        <v>22</v>
      </c>
      <c r="B29" s="15" t="s">
        <v>51</v>
      </c>
      <c r="C29" s="60">
        <v>14</v>
      </c>
      <c r="D29" s="38"/>
      <c r="E29" s="35"/>
      <c r="F29" s="46"/>
      <c r="G29" s="38"/>
      <c r="H29" s="35"/>
      <c r="I29" s="46"/>
      <c r="J29" s="14"/>
      <c r="K29" s="50"/>
      <c r="L29" s="113"/>
      <c r="M29" s="12">
        <f t="shared" si="0"/>
        <v>14</v>
      </c>
    </row>
    <row r="30" spans="1:13" ht="18" customHeight="1">
      <c r="A30" s="6">
        <v>23</v>
      </c>
      <c r="B30" s="15" t="s">
        <v>52</v>
      </c>
      <c r="C30" s="60">
        <v>12</v>
      </c>
      <c r="D30" s="29"/>
      <c r="E30" s="35"/>
      <c r="F30" s="46"/>
      <c r="G30" s="38"/>
      <c r="H30" s="35"/>
      <c r="I30" s="46"/>
      <c r="J30" s="14"/>
      <c r="K30" s="50"/>
      <c r="L30" s="113"/>
      <c r="M30" s="12">
        <f t="shared" si="0"/>
        <v>12</v>
      </c>
    </row>
    <row r="31" spans="1:13" ht="18" customHeight="1">
      <c r="A31" s="6">
        <v>24</v>
      </c>
      <c r="B31" s="15" t="s">
        <v>48</v>
      </c>
      <c r="C31" s="60">
        <v>7</v>
      </c>
      <c r="D31" s="29"/>
      <c r="E31" s="35"/>
      <c r="F31" s="46"/>
      <c r="G31" s="38"/>
      <c r="H31" s="35"/>
      <c r="I31" s="46"/>
      <c r="J31" s="14"/>
      <c r="K31" s="50"/>
      <c r="L31" s="113"/>
      <c r="M31" s="12">
        <f t="shared" si="0"/>
        <v>7</v>
      </c>
    </row>
    <row r="32" spans="1:13" ht="18" customHeight="1">
      <c r="A32" s="6">
        <v>25</v>
      </c>
      <c r="B32" s="15" t="s">
        <v>54</v>
      </c>
      <c r="C32" s="60"/>
      <c r="D32" s="29"/>
      <c r="E32" s="35"/>
      <c r="F32" s="46"/>
      <c r="G32" s="38">
        <f>162+153+175+156+176+201</f>
        <v>1023</v>
      </c>
      <c r="H32" s="35">
        <v>8</v>
      </c>
      <c r="I32" s="46">
        <v>5</v>
      </c>
      <c r="J32" s="14"/>
      <c r="K32" s="50"/>
      <c r="L32" s="113"/>
      <c r="M32" s="12">
        <f t="shared" si="0"/>
        <v>5</v>
      </c>
    </row>
    <row r="33" spans="1:13" ht="18" customHeight="1">
      <c r="A33" s="6">
        <v>26</v>
      </c>
      <c r="B33" s="15" t="s">
        <v>36</v>
      </c>
      <c r="C33" s="60">
        <v>3</v>
      </c>
      <c r="D33" s="38"/>
      <c r="E33" s="35"/>
      <c r="F33" s="46"/>
      <c r="G33" s="38"/>
      <c r="H33" s="35"/>
      <c r="I33" s="46"/>
      <c r="J33" s="14"/>
      <c r="K33" s="50"/>
      <c r="L33" s="113"/>
      <c r="M33" s="12">
        <f t="shared" si="0"/>
        <v>3</v>
      </c>
    </row>
    <row r="34" spans="1:13" ht="18" customHeight="1" thickBot="1">
      <c r="A34" s="7">
        <v>27</v>
      </c>
      <c r="B34" s="16" t="s">
        <v>55</v>
      </c>
      <c r="C34" s="61"/>
      <c r="D34" s="109"/>
      <c r="E34" s="40"/>
      <c r="F34" s="56"/>
      <c r="G34" s="43"/>
      <c r="H34" s="40"/>
      <c r="I34" s="56"/>
      <c r="J34" s="17">
        <f>127+136+157+118+148+169</f>
        <v>855</v>
      </c>
      <c r="K34" s="51">
        <v>12</v>
      </c>
      <c r="L34" s="114">
        <v>1</v>
      </c>
      <c r="M34" s="16">
        <f t="shared" si="0"/>
        <v>1</v>
      </c>
    </row>
    <row r="35" spans="2:10" ht="18.75">
      <c r="B35" s="8"/>
      <c r="C35" s="62"/>
      <c r="D35" s="9"/>
      <c r="E35" s="41"/>
      <c r="F35" s="9"/>
      <c r="G35" s="9"/>
      <c r="H35" s="41"/>
      <c r="I35" s="9"/>
      <c r="J35" s="9"/>
    </row>
  </sheetData>
  <sheetProtection/>
  <mergeCells count="4">
    <mergeCell ref="A1:M1"/>
    <mergeCell ref="A2:M2"/>
    <mergeCell ref="A3:M3"/>
    <mergeCell ref="A4:M4"/>
  </mergeCells>
  <printOptions/>
  <pageMargins left="0.9055118110236221" right="0.31496062992125984" top="0.15748031496062992" bottom="0.1574803149606299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8" sqref="A8:M36"/>
    </sheetView>
  </sheetViews>
  <sheetFormatPr defaultColWidth="9.140625" defaultRowHeight="15"/>
  <cols>
    <col min="1" max="1" width="4.8515625" style="118" customWidth="1"/>
    <col min="2" max="2" width="23.7109375" style="115" customWidth="1"/>
    <col min="3" max="3" width="8.28125" style="119" customWidth="1"/>
    <col min="4" max="4" width="8.7109375" style="115" customWidth="1"/>
    <col min="5" max="5" width="7.140625" style="119" customWidth="1"/>
    <col min="6" max="7" width="8.7109375" style="115" customWidth="1"/>
    <col min="8" max="8" width="7.140625" style="119" customWidth="1"/>
    <col min="9" max="10" width="8.7109375" style="115" customWidth="1"/>
    <col min="11" max="11" width="7.140625" style="115" customWidth="1"/>
    <col min="12" max="12" width="8.7109375" style="115" customWidth="1"/>
    <col min="13" max="13" width="8.57421875" style="115" customWidth="1"/>
    <col min="14" max="16384" width="9.140625" style="115" customWidth="1"/>
  </cols>
  <sheetData>
    <row r="1" spans="1:13" ht="15.75" customHeight="1">
      <c r="A1" s="187" t="s">
        <v>47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s="116" customFormat="1" ht="16.5" customHeight="1">
      <c r="A2" s="188" t="s">
        <v>21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13.5" customHeight="1">
      <c r="A3" s="188" t="s">
        <v>38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 ht="12" customHeight="1">
      <c r="A4" s="189" t="s">
        <v>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8.25" customHeight="1" thickBo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4:12" ht="15" customHeight="1" thickBot="1">
      <c r="D6" s="120"/>
      <c r="E6" s="121">
        <v>42634</v>
      </c>
      <c r="F6" s="122"/>
      <c r="G6" s="120"/>
      <c r="H6" s="121">
        <v>42641</v>
      </c>
      <c r="I6" s="122"/>
      <c r="J6" s="123"/>
      <c r="K6" s="121">
        <v>42648</v>
      </c>
      <c r="L6" s="122"/>
    </row>
    <row r="7" spans="1:13" s="130" customFormat="1" ht="17.25" customHeight="1" thickBot="1">
      <c r="A7" s="124" t="s">
        <v>1</v>
      </c>
      <c r="B7" s="124" t="s">
        <v>15</v>
      </c>
      <c r="C7" s="125" t="s">
        <v>39</v>
      </c>
      <c r="D7" s="126" t="s">
        <v>2</v>
      </c>
      <c r="E7" s="127" t="s">
        <v>16</v>
      </c>
      <c r="F7" s="128" t="s">
        <v>17</v>
      </c>
      <c r="G7" s="126" t="s">
        <v>2</v>
      </c>
      <c r="H7" s="127" t="s">
        <v>16</v>
      </c>
      <c r="I7" s="128" t="s">
        <v>17</v>
      </c>
      <c r="J7" s="126" t="s">
        <v>2</v>
      </c>
      <c r="K7" s="127" t="s">
        <v>16</v>
      </c>
      <c r="L7" s="128" t="s">
        <v>17</v>
      </c>
      <c r="M7" s="129" t="s">
        <v>2</v>
      </c>
    </row>
    <row r="8" spans="1:14" ht="16.5" customHeight="1">
      <c r="A8" s="131">
        <v>1</v>
      </c>
      <c r="B8" s="182" t="s">
        <v>5</v>
      </c>
      <c r="C8" s="132">
        <v>250</v>
      </c>
      <c r="D8" s="133">
        <f>183+166+256+166+172+245</f>
        <v>1188</v>
      </c>
      <c r="E8" s="134">
        <v>3</v>
      </c>
      <c r="F8" s="135">
        <v>13</v>
      </c>
      <c r="G8" s="133">
        <f>199+204+134+173+224+244</f>
        <v>1178</v>
      </c>
      <c r="H8" s="134">
        <v>3</v>
      </c>
      <c r="I8" s="135">
        <v>7</v>
      </c>
      <c r="J8" s="136">
        <f>199+180+151+190+193+155</f>
        <v>1068</v>
      </c>
      <c r="K8" s="137">
        <v>2</v>
      </c>
      <c r="L8" s="138">
        <v>12</v>
      </c>
      <c r="M8" s="139">
        <f aca="true" t="shared" si="0" ref="M8:M36">F8+I8+L8+C8</f>
        <v>282</v>
      </c>
      <c r="N8" s="140"/>
    </row>
    <row r="9" spans="1:14" ht="16.5" customHeight="1">
      <c r="A9" s="141">
        <v>2</v>
      </c>
      <c r="B9" s="142" t="s">
        <v>3</v>
      </c>
      <c r="C9" s="143">
        <v>218</v>
      </c>
      <c r="D9" s="144">
        <f>169+212+185+233+245+185</f>
        <v>1229</v>
      </c>
      <c r="E9" s="145">
        <v>1</v>
      </c>
      <c r="F9" s="146">
        <v>18</v>
      </c>
      <c r="G9" s="144">
        <f>180+198+168+182+210+219</f>
        <v>1157</v>
      </c>
      <c r="H9" s="145">
        <v>4</v>
      </c>
      <c r="I9" s="146">
        <v>6</v>
      </c>
      <c r="J9" s="147">
        <f>179+156+141+169+182+179</f>
        <v>1006</v>
      </c>
      <c r="K9" s="148">
        <v>4</v>
      </c>
      <c r="L9" s="149">
        <v>9</v>
      </c>
      <c r="M9" s="150">
        <f t="shared" si="0"/>
        <v>251</v>
      </c>
      <c r="N9" s="140"/>
    </row>
    <row r="10" spans="1:14" ht="16.5" customHeight="1">
      <c r="A10" s="141">
        <v>3</v>
      </c>
      <c r="B10" s="142" t="s">
        <v>10</v>
      </c>
      <c r="C10" s="143">
        <v>192</v>
      </c>
      <c r="D10" s="144">
        <f>202+188+147+187+211+171</f>
        <v>1106</v>
      </c>
      <c r="E10" s="145">
        <v>6</v>
      </c>
      <c r="F10" s="146">
        <v>10</v>
      </c>
      <c r="G10" s="144"/>
      <c r="H10" s="145"/>
      <c r="I10" s="146"/>
      <c r="J10" s="147">
        <f>139+172+171+178+143+189</f>
        <v>992</v>
      </c>
      <c r="K10" s="148">
        <v>7</v>
      </c>
      <c r="L10" s="149">
        <v>6</v>
      </c>
      <c r="M10" s="150">
        <f t="shared" si="0"/>
        <v>208</v>
      </c>
      <c r="N10" s="140"/>
    </row>
    <row r="11" spans="1:14" ht="16.5" customHeight="1">
      <c r="A11" s="141">
        <v>4</v>
      </c>
      <c r="B11" s="142" t="s">
        <v>14</v>
      </c>
      <c r="C11" s="143">
        <v>157</v>
      </c>
      <c r="D11" s="144">
        <f>233+204+161+181+203+206</f>
        <v>1188</v>
      </c>
      <c r="E11" s="145">
        <v>2</v>
      </c>
      <c r="F11" s="146">
        <v>15</v>
      </c>
      <c r="G11" s="144">
        <f>175+214+180+177+217+223</f>
        <v>1186</v>
      </c>
      <c r="H11" s="145">
        <v>2</v>
      </c>
      <c r="I11" s="146">
        <v>9</v>
      </c>
      <c r="J11" s="147">
        <f>126+172+206+206+224+213</f>
        <v>1147</v>
      </c>
      <c r="K11" s="148">
        <v>1</v>
      </c>
      <c r="L11" s="149">
        <v>15</v>
      </c>
      <c r="M11" s="150">
        <f t="shared" si="0"/>
        <v>196</v>
      </c>
      <c r="N11" s="140"/>
    </row>
    <row r="12" spans="1:14" ht="16.5" customHeight="1">
      <c r="A12" s="141">
        <v>5</v>
      </c>
      <c r="B12" s="142" t="s">
        <v>20</v>
      </c>
      <c r="C12" s="143">
        <v>136</v>
      </c>
      <c r="D12" s="144">
        <f>192+172+194+193+160+201</f>
        <v>1112</v>
      </c>
      <c r="E12" s="145">
        <v>5</v>
      </c>
      <c r="F12" s="146">
        <v>11</v>
      </c>
      <c r="G12" s="144">
        <f>225+196+222+210+152+223</f>
        <v>1228</v>
      </c>
      <c r="H12" s="145">
        <v>1</v>
      </c>
      <c r="I12" s="146">
        <v>12</v>
      </c>
      <c r="J12" s="147">
        <f>200+167+152+160+178+189</f>
        <v>1046</v>
      </c>
      <c r="K12" s="148">
        <v>3</v>
      </c>
      <c r="L12" s="149">
        <v>10</v>
      </c>
      <c r="M12" s="150">
        <f t="shared" si="0"/>
        <v>169</v>
      </c>
      <c r="N12" s="140"/>
    </row>
    <row r="13" spans="1:14" ht="16.5" customHeight="1">
      <c r="A13" s="141">
        <v>6</v>
      </c>
      <c r="B13" s="142" t="s">
        <v>33</v>
      </c>
      <c r="C13" s="143">
        <v>128</v>
      </c>
      <c r="D13" s="144">
        <f>121+200+181+185+127+182</f>
        <v>996</v>
      </c>
      <c r="E13" s="145">
        <v>10</v>
      </c>
      <c r="F13" s="146">
        <v>6</v>
      </c>
      <c r="G13" s="144">
        <f>202+133+189+183+215+195</f>
        <v>1117</v>
      </c>
      <c r="H13" s="145">
        <v>6</v>
      </c>
      <c r="I13" s="146">
        <v>4</v>
      </c>
      <c r="J13" s="147">
        <f>185+180+147+157+184+147</f>
        <v>1000</v>
      </c>
      <c r="K13" s="148">
        <v>5</v>
      </c>
      <c r="L13" s="149">
        <v>8</v>
      </c>
      <c r="M13" s="150">
        <f t="shared" si="0"/>
        <v>146</v>
      </c>
      <c r="N13" s="140"/>
    </row>
    <row r="14" spans="1:14" ht="16.5" customHeight="1">
      <c r="A14" s="141">
        <v>7</v>
      </c>
      <c r="B14" s="142" t="s">
        <v>22</v>
      </c>
      <c r="C14" s="143">
        <v>139</v>
      </c>
      <c r="D14" s="144"/>
      <c r="E14" s="145"/>
      <c r="F14" s="146"/>
      <c r="G14" s="144"/>
      <c r="H14" s="145"/>
      <c r="I14" s="146"/>
      <c r="J14" s="147">
        <f>151+157+160+122+178+158</f>
        <v>926</v>
      </c>
      <c r="K14" s="148">
        <v>10</v>
      </c>
      <c r="L14" s="149">
        <v>3</v>
      </c>
      <c r="M14" s="150">
        <f t="shared" si="0"/>
        <v>142</v>
      </c>
      <c r="N14" s="140"/>
    </row>
    <row r="15" spans="1:14" ht="16.5" customHeight="1">
      <c r="A15" s="141">
        <v>8</v>
      </c>
      <c r="B15" s="142" t="s">
        <v>18</v>
      </c>
      <c r="C15" s="143">
        <v>109</v>
      </c>
      <c r="D15" s="144">
        <f>161+178+182+152+180+147</f>
        <v>1000</v>
      </c>
      <c r="E15" s="145">
        <v>9</v>
      </c>
      <c r="F15" s="146">
        <v>7</v>
      </c>
      <c r="G15" s="144">
        <f>202+160+174+177+195+219</f>
        <v>1127</v>
      </c>
      <c r="H15" s="145">
        <v>5</v>
      </c>
      <c r="I15" s="146">
        <v>5</v>
      </c>
      <c r="J15" s="147">
        <f>192+177+141+184+169+133</f>
        <v>996</v>
      </c>
      <c r="K15" s="148">
        <v>6</v>
      </c>
      <c r="L15" s="149">
        <v>7</v>
      </c>
      <c r="M15" s="150">
        <f t="shared" si="0"/>
        <v>128</v>
      </c>
      <c r="N15" s="140"/>
    </row>
    <row r="16" spans="1:13" ht="16.5" customHeight="1">
      <c r="A16" s="141">
        <v>9</v>
      </c>
      <c r="B16" s="142" t="s">
        <v>12</v>
      </c>
      <c r="C16" s="143">
        <v>106</v>
      </c>
      <c r="D16" s="144">
        <f>149+162+163+153+181+172</f>
        <v>980</v>
      </c>
      <c r="E16" s="145">
        <v>12</v>
      </c>
      <c r="F16" s="146">
        <v>4</v>
      </c>
      <c r="G16" s="144">
        <f>171+195+203+135+187+147</f>
        <v>1038</v>
      </c>
      <c r="H16" s="145">
        <v>8</v>
      </c>
      <c r="I16" s="146">
        <v>2</v>
      </c>
      <c r="J16" s="147">
        <f>199+183+191+156+124+10</f>
        <v>863</v>
      </c>
      <c r="K16" s="148">
        <v>12</v>
      </c>
      <c r="L16" s="149">
        <v>1</v>
      </c>
      <c r="M16" s="150">
        <f t="shared" si="0"/>
        <v>113</v>
      </c>
    </row>
    <row r="17" spans="1:13" ht="16.5" customHeight="1">
      <c r="A17" s="141">
        <v>10</v>
      </c>
      <c r="B17" s="142" t="s">
        <v>6</v>
      </c>
      <c r="C17" s="143">
        <v>81</v>
      </c>
      <c r="D17" s="144">
        <f>181+147+156+125+154+167</f>
        <v>930</v>
      </c>
      <c r="E17" s="145">
        <v>13</v>
      </c>
      <c r="F17" s="146">
        <v>3</v>
      </c>
      <c r="G17" s="144">
        <f>142+183+152+136+153+245</f>
        <v>1011</v>
      </c>
      <c r="H17" s="145">
        <v>9</v>
      </c>
      <c r="I17" s="146">
        <v>1</v>
      </c>
      <c r="J17" s="147">
        <f>176+150+197+160+122+148</f>
        <v>953</v>
      </c>
      <c r="K17" s="148">
        <v>8</v>
      </c>
      <c r="L17" s="149">
        <v>5</v>
      </c>
      <c r="M17" s="150">
        <f t="shared" si="0"/>
        <v>90</v>
      </c>
    </row>
    <row r="18" spans="1:13" ht="16.5" customHeight="1">
      <c r="A18" s="131">
        <v>11</v>
      </c>
      <c r="B18" s="142" t="s">
        <v>34</v>
      </c>
      <c r="C18" s="151">
        <v>77</v>
      </c>
      <c r="D18" s="152">
        <f>167+222+122+183+141+156</f>
        <v>991</v>
      </c>
      <c r="E18" s="153">
        <v>11</v>
      </c>
      <c r="F18" s="154">
        <v>5</v>
      </c>
      <c r="G18" s="152">
        <f>184+209+156+182+188+188</f>
        <v>1107</v>
      </c>
      <c r="H18" s="153">
        <v>7</v>
      </c>
      <c r="I18" s="154">
        <v>3</v>
      </c>
      <c r="J18" s="155">
        <f>151+144+111+192+139+211</f>
        <v>948</v>
      </c>
      <c r="K18" s="156">
        <v>9</v>
      </c>
      <c r="L18" s="157">
        <v>4</v>
      </c>
      <c r="M18" s="150">
        <f t="shared" si="0"/>
        <v>89</v>
      </c>
    </row>
    <row r="19" spans="1:13" ht="16.5" customHeight="1">
      <c r="A19" s="141">
        <v>12</v>
      </c>
      <c r="B19" s="142" t="s">
        <v>27</v>
      </c>
      <c r="C19" s="151">
        <v>75</v>
      </c>
      <c r="D19" s="152"/>
      <c r="E19" s="153"/>
      <c r="F19" s="154"/>
      <c r="G19" s="152"/>
      <c r="H19" s="153"/>
      <c r="I19" s="154"/>
      <c r="J19" s="155"/>
      <c r="K19" s="156"/>
      <c r="L19" s="157"/>
      <c r="M19" s="150">
        <f t="shared" si="0"/>
        <v>75</v>
      </c>
    </row>
    <row r="20" spans="1:13" ht="16.5" customHeight="1">
      <c r="A20" s="141">
        <v>13</v>
      </c>
      <c r="B20" s="150" t="s">
        <v>9</v>
      </c>
      <c r="C20" s="151">
        <v>67</v>
      </c>
      <c r="D20" s="152"/>
      <c r="E20" s="153"/>
      <c r="F20" s="154"/>
      <c r="G20" s="152"/>
      <c r="H20" s="153"/>
      <c r="I20" s="154"/>
      <c r="J20" s="155"/>
      <c r="K20" s="156"/>
      <c r="L20" s="157"/>
      <c r="M20" s="150">
        <f t="shared" si="0"/>
        <v>67</v>
      </c>
    </row>
    <row r="21" spans="1:13" ht="16.5" customHeight="1">
      <c r="A21" s="141">
        <v>14</v>
      </c>
      <c r="B21" s="142" t="s">
        <v>50</v>
      </c>
      <c r="C21" s="151">
        <v>51</v>
      </c>
      <c r="D21" s="152"/>
      <c r="E21" s="153"/>
      <c r="F21" s="154"/>
      <c r="G21" s="152"/>
      <c r="H21" s="153"/>
      <c r="I21" s="154"/>
      <c r="J21" s="155"/>
      <c r="K21" s="156"/>
      <c r="L21" s="157"/>
      <c r="M21" s="150">
        <f t="shared" si="0"/>
        <v>51</v>
      </c>
    </row>
    <row r="22" spans="1:13" ht="16.5" customHeight="1">
      <c r="A22" s="141">
        <v>15</v>
      </c>
      <c r="B22" s="150" t="s">
        <v>13</v>
      </c>
      <c r="C22" s="151">
        <v>38</v>
      </c>
      <c r="D22" s="152"/>
      <c r="E22" s="158"/>
      <c r="F22" s="159"/>
      <c r="G22" s="160"/>
      <c r="H22" s="158"/>
      <c r="I22" s="159"/>
      <c r="J22" s="161">
        <f>147+152+150+129+156+133</f>
        <v>867</v>
      </c>
      <c r="K22" s="156">
        <v>11</v>
      </c>
      <c r="L22" s="157">
        <v>2</v>
      </c>
      <c r="M22" s="150">
        <f t="shared" si="0"/>
        <v>40</v>
      </c>
    </row>
    <row r="23" spans="1:13" ht="16.5" customHeight="1">
      <c r="A23" s="141">
        <v>16</v>
      </c>
      <c r="B23" s="150" t="s">
        <v>49</v>
      </c>
      <c r="C23" s="151">
        <v>26</v>
      </c>
      <c r="D23" s="152">
        <f>173+246+165+161+231+190</f>
        <v>1166</v>
      </c>
      <c r="E23" s="153">
        <v>4</v>
      </c>
      <c r="F23" s="154">
        <v>12</v>
      </c>
      <c r="G23" s="152"/>
      <c r="H23" s="153"/>
      <c r="I23" s="154"/>
      <c r="J23" s="155"/>
      <c r="K23" s="162"/>
      <c r="L23" s="163"/>
      <c r="M23" s="142">
        <f t="shared" si="0"/>
        <v>38</v>
      </c>
    </row>
    <row r="24" spans="1:13" ht="16.5" customHeight="1">
      <c r="A24" s="164">
        <v>17</v>
      </c>
      <c r="B24" s="150" t="s">
        <v>35</v>
      </c>
      <c r="C24" s="151">
        <v>23</v>
      </c>
      <c r="D24" s="152">
        <f>124+158+154+141+129+143</f>
        <v>849</v>
      </c>
      <c r="E24" s="153">
        <v>15</v>
      </c>
      <c r="F24" s="154">
        <v>1</v>
      </c>
      <c r="G24" s="152"/>
      <c r="H24" s="153"/>
      <c r="I24" s="154"/>
      <c r="J24" s="155"/>
      <c r="K24" s="156"/>
      <c r="L24" s="157"/>
      <c r="M24" s="150">
        <f t="shared" si="0"/>
        <v>24</v>
      </c>
    </row>
    <row r="25" spans="1:13" ht="16.5" customHeight="1">
      <c r="A25" s="164">
        <v>18</v>
      </c>
      <c r="B25" s="165" t="s">
        <v>7</v>
      </c>
      <c r="C25" s="151">
        <v>19</v>
      </c>
      <c r="D25" s="152"/>
      <c r="E25" s="153"/>
      <c r="F25" s="154"/>
      <c r="G25" s="152"/>
      <c r="H25" s="153"/>
      <c r="I25" s="154"/>
      <c r="J25" s="155"/>
      <c r="K25" s="156"/>
      <c r="L25" s="157"/>
      <c r="M25" s="150">
        <f t="shared" si="0"/>
        <v>19</v>
      </c>
    </row>
    <row r="26" spans="1:13" ht="16.5" customHeight="1">
      <c r="A26" s="164">
        <v>19</v>
      </c>
      <c r="B26" s="166" t="s">
        <v>11</v>
      </c>
      <c r="C26" s="151">
        <v>18</v>
      </c>
      <c r="D26" s="152"/>
      <c r="E26" s="153"/>
      <c r="F26" s="154"/>
      <c r="G26" s="152"/>
      <c r="H26" s="153"/>
      <c r="I26" s="154"/>
      <c r="J26" s="155"/>
      <c r="K26" s="156"/>
      <c r="L26" s="157"/>
      <c r="M26" s="150">
        <f t="shared" si="0"/>
        <v>18</v>
      </c>
    </row>
    <row r="27" spans="1:13" s="169" customFormat="1" ht="16.5" customHeight="1">
      <c r="A27" s="167">
        <v>20</v>
      </c>
      <c r="B27" s="166" t="s">
        <v>4</v>
      </c>
      <c r="C27" s="168">
        <v>17</v>
      </c>
      <c r="D27" s="160"/>
      <c r="E27" s="153"/>
      <c r="F27" s="154"/>
      <c r="G27" s="152"/>
      <c r="H27" s="153"/>
      <c r="I27" s="154"/>
      <c r="J27" s="155"/>
      <c r="K27" s="156"/>
      <c r="L27" s="157"/>
      <c r="M27" s="150">
        <f t="shared" si="0"/>
        <v>17</v>
      </c>
    </row>
    <row r="28" spans="1:13" ht="16.5" customHeight="1">
      <c r="A28" s="164">
        <v>21</v>
      </c>
      <c r="B28" s="166" t="s">
        <v>53</v>
      </c>
      <c r="C28" s="151">
        <v>16</v>
      </c>
      <c r="D28" s="152"/>
      <c r="E28" s="153"/>
      <c r="F28" s="154"/>
      <c r="G28" s="152"/>
      <c r="H28" s="153"/>
      <c r="I28" s="154"/>
      <c r="J28" s="155"/>
      <c r="K28" s="156"/>
      <c r="L28" s="157"/>
      <c r="M28" s="150">
        <f t="shared" si="0"/>
        <v>16</v>
      </c>
    </row>
    <row r="29" spans="1:13" ht="16.5" customHeight="1">
      <c r="A29" s="164">
        <v>22</v>
      </c>
      <c r="B29" s="166" t="s">
        <v>54</v>
      </c>
      <c r="C29" s="151">
        <v>5</v>
      </c>
      <c r="D29" s="152">
        <f>195+150+165+169+167+237</f>
        <v>1083</v>
      </c>
      <c r="E29" s="153">
        <v>7</v>
      </c>
      <c r="F29" s="154">
        <v>9</v>
      </c>
      <c r="G29" s="152"/>
      <c r="H29" s="153"/>
      <c r="I29" s="154"/>
      <c r="J29" s="155"/>
      <c r="K29" s="156"/>
      <c r="L29" s="157"/>
      <c r="M29" s="150">
        <f t="shared" si="0"/>
        <v>14</v>
      </c>
    </row>
    <row r="30" spans="1:13" ht="16.5" customHeight="1">
      <c r="A30" s="164">
        <v>23</v>
      </c>
      <c r="B30" s="166" t="s">
        <v>51</v>
      </c>
      <c r="C30" s="151">
        <v>14</v>
      </c>
      <c r="D30" s="152"/>
      <c r="E30" s="153"/>
      <c r="F30" s="154"/>
      <c r="G30" s="152"/>
      <c r="H30" s="153"/>
      <c r="I30" s="154"/>
      <c r="J30" s="155"/>
      <c r="K30" s="156"/>
      <c r="L30" s="157"/>
      <c r="M30" s="150">
        <f t="shared" si="0"/>
        <v>14</v>
      </c>
    </row>
    <row r="31" spans="1:13" ht="16.5" customHeight="1">
      <c r="A31" s="164">
        <v>24</v>
      </c>
      <c r="B31" s="166" t="s">
        <v>52</v>
      </c>
      <c r="C31" s="151">
        <v>12</v>
      </c>
      <c r="D31" s="152"/>
      <c r="E31" s="153"/>
      <c r="F31" s="154"/>
      <c r="G31" s="152"/>
      <c r="H31" s="153"/>
      <c r="I31" s="154"/>
      <c r="J31" s="155"/>
      <c r="K31" s="156"/>
      <c r="L31" s="157"/>
      <c r="M31" s="150">
        <f t="shared" si="0"/>
        <v>12</v>
      </c>
    </row>
    <row r="32" spans="1:13" ht="16.5" customHeight="1">
      <c r="A32" s="164">
        <v>25</v>
      </c>
      <c r="B32" s="166" t="s">
        <v>57</v>
      </c>
      <c r="C32" s="151"/>
      <c r="D32" s="152">
        <f>48+167+189+162+157+178+172</f>
        <v>1073</v>
      </c>
      <c r="E32" s="153">
        <v>8</v>
      </c>
      <c r="F32" s="154">
        <v>8</v>
      </c>
      <c r="G32" s="152"/>
      <c r="H32" s="153"/>
      <c r="I32" s="154"/>
      <c r="J32" s="155"/>
      <c r="K32" s="156"/>
      <c r="L32" s="157"/>
      <c r="M32" s="150">
        <f t="shared" si="0"/>
        <v>8</v>
      </c>
    </row>
    <row r="33" spans="1:13" ht="16.5" customHeight="1">
      <c r="A33" s="164">
        <v>26</v>
      </c>
      <c r="B33" s="166" t="s">
        <v>48</v>
      </c>
      <c r="C33" s="151">
        <v>7</v>
      </c>
      <c r="D33" s="152"/>
      <c r="E33" s="153"/>
      <c r="F33" s="154"/>
      <c r="G33" s="152"/>
      <c r="H33" s="153"/>
      <c r="I33" s="154"/>
      <c r="J33" s="155"/>
      <c r="K33" s="156"/>
      <c r="L33" s="157"/>
      <c r="M33" s="150">
        <f t="shared" si="0"/>
        <v>7</v>
      </c>
    </row>
    <row r="34" spans="1:13" ht="16.5" customHeight="1">
      <c r="A34" s="164">
        <v>27</v>
      </c>
      <c r="B34" s="166" t="s">
        <v>36</v>
      </c>
      <c r="C34" s="151">
        <v>3</v>
      </c>
      <c r="D34" s="152"/>
      <c r="E34" s="153"/>
      <c r="F34" s="154"/>
      <c r="G34" s="152"/>
      <c r="H34" s="153"/>
      <c r="I34" s="154"/>
      <c r="J34" s="155"/>
      <c r="K34" s="156"/>
      <c r="L34" s="157"/>
      <c r="M34" s="150">
        <f t="shared" si="0"/>
        <v>3</v>
      </c>
    </row>
    <row r="35" spans="1:13" ht="16.5" customHeight="1">
      <c r="A35" s="164">
        <v>28</v>
      </c>
      <c r="B35" s="166" t="s">
        <v>56</v>
      </c>
      <c r="C35" s="151"/>
      <c r="D35" s="152">
        <f>48+145+120+175+143+144+141</f>
        <v>916</v>
      </c>
      <c r="E35" s="153">
        <v>14</v>
      </c>
      <c r="F35" s="154">
        <v>2</v>
      </c>
      <c r="G35" s="152"/>
      <c r="H35" s="153"/>
      <c r="I35" s="154"/>
      <c r="J35" s="155"/>
      <c r="K35" s="156"/>
      <c r="L35" s="157"/>
      <c r="M35" s="150">
        <f t="shared" si="0"/>
        <v>2</v>
      </c>
    </row>
    <row r="36" spans="1:13" ht="16.5" customHeight="1" thickBot="1">
      <c r="A36" s="170">
        <v>29</v>
      </c>
      <c r="B36" s="171" t="s">
        <v>55</v>
      </c>
      <c r="C36" s="172">
        <v>1</v>
      </c>
      <c r="D36" s="173"/>
      <c r="E36" s="174"/>
      <c r="F36" s="175"/>
      <c r="G36" s="173"/>
      <c r="H36" s="174"/>
      <c r="I36" s="175"/>
      <c r="J36" s="176"/>
      <c r="K36" s="177"/>
      <c r="L36" s="178"/>
      <c r="M36" s="171">
        <f t="shared" si="0"/>
        <v>1</v>
      </c>
    </row>
    <row r="37" spans="2:10" ht="18.75">
      <c r="B37" s="179"/>
      <c r="C37" s="180"/>
      <c r="D37" s="140"/>
      <c r="E37" s="181"/>
      <c r="F37" s="140"/>
      <c r="G37" s="140"/>
      <c r="H37" s="181"/>
      <c r="I37" s="140"/>
      <c r="J37" s="140"/>
    </row>
  </sheetData>
  <sheetProtection/>
  <mergeCells count="4">
    <mergeCell ref="A1:M1"/>
    <mergeCell ref="A2:M2"/>
    <mergeCell ref="A3:M3"/>
    <mergeCell ref="A4:M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4" width="8.7109375" style="0" customWidth="1"/>
    <col min="5" max="5" width="8.7109375" style="42" customWidth="1"/>
    <col min="6" max="7" width="8.7109375" style="0" customWidth="1"/>
    <col min="8" max="8" width="8.7109375" style="42" customWidth="1"/>
    <col min="9" max="12" width="8.7109375" style="0" customWidth="1"/>
    <col min="13" max="13" width="9.140625" style="0" customWidth="1"/>
    <col min="14" max="14" width="9.140625" style="75" customWidth="1"/>
    <col min="15" max="15" width="16.140625" style="73" customWidth="1"/>
  </cols>
  <sheetData>
    <row r="1" spans="1:13" ht="18" customHeight="1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5" s="18" customFormat="1" ht="16.5" customHeight="1">
      <c r="A2" s="185" t="s">
        <v>21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75"/>
      <c r="O2" s="73"/>
    </row>
    <row r="3" spans="1:13" ht="14.25" customHeight="1">
      <c r="A3" s="185" t="s">
        <v>40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2" customHeight="1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8.25" customHeight="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4:12" ht="15" customHeight="1" thickBot="1">
      <c r="D6" s="24"/>
      <c r="E6" s="27">
        <v>42662</v>
      </c>
      <c r="F6" s="26"/>
      <c r="G6" s="24"/>
      <c r="H6" s="27">
        <v>42669</v>
      </c>
      <c r="I6" s="26"/>
      <c r="J6" s="25"/>
      <c r="K6" s="27">
        <v>42676</v>
      </c>
      <c r="L6" s="26"/>
    </row>
    <row r="7" spans="1:15" s="3" customFormat="1" ht="17.25" customHeight="1" thickBot="1">
      <c r="A7" s="2" t="s">
        <v>1</v>
      </c>
      <c r="B7" s="2" t="s">
        <v>15</v>
      </c>
      <c r="C7" s="65" t="s">
        <v>41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74" t="s">
        <v>2</v>
      </c>
      <c r="N7" s="2" t="s">
        <v>42</v>
      </c>
      <c r="O7" s="80" t="s">
        <v>43</v>
      </c>
    </row>
    <row r="8" spans="1:15" ht="18" customHeight="1">
      <c r="A8" s="131">
        <v>1</v>
      </c>
      <c r="B8" s="182" t="s">
        <v>5</v>
      </c>
      <c r="C8" s="132">
        <v>282</v>
      </c>
      <c r="D8" s="133"/>
      <c r="E8" s="134"/>
      <c r="F8" s="135"/>
      <c r="G8" s="133"/>
      <c r="H8" s="134"/>
      <c r="I8" s="135"/>
      <c r="J8" s="136"/>
      <c r="K8" s="137"/>
      <c r="L8" s="138"/>
      <c r="M8" s="139">
        <f aca="true" t="shared" si="0" ref="M8:M36">F8+I8+L8+C8</f>
        <v>282</v>
      </c>
      <c r="N8" s="76">
        <v>70</v>
      </c>
      <c r="O8" s="10">
        <f>M8+N8</f>
        <v>352</v>
      </c>
    </row>
    <row r="9" spans="1:15" ht="18" customHeight="1">
      <c r="A9" s="141">
        <v>2</v>
      </c>
      <c r="B9" s="142" t="s">
        <v>3</v>
      </c>
      <c r="C9" s="143">
        <v>251</v>
      </c>
      <c r="D9" s="144"/>
      <c r="E9" s="145"/>
      <c r="F9" s="146"/>
      <c r="G9" s="144"/>
      <c r="H9" s="145"/>
      <c r="I9" s="146"/>
      <c r="J9" s="147"/>
      <c r="K9" s="148"/>
      <c r="L9" s="149"/>
      <c r="M9" s="150">
        <f t="shared" si="0"/>
        <v>251</v>
      </c>
      <c r="N9" s="77">
        <v>60</v>
      </c>
      <c r="O9" s="81">
        <f aca="true" t="shared" si="1" ref="O9:O15">M9+N9</f>
        <v>311</v>
      </c>
    </row>
    <row r="10" spans="1:15" ht="18" customHeight="1">
      <c r="A10" s="141">
        <v>3</v>
      </c>
      <c r="B10" s="142" t="s">
        <v>10</v>
      </c>
      <c r="C10" s="143">
        <v>208</v>
      </c>
      <c r="D10" s="144"/>
      <c r="E10" s="145"/>
      <c r="F10" s="146"/>
      <c r="G10" s="144"/>
      <c r="H10" s="145"/>
      <c r="I10" s="146"/>
      <c r="J10" s="147"/>
      <c r="K10" s="148"/>
      <c r="L10" s="149"/>
      <c r="M10" s="150">
        <f t="shared" si="0"/>
        <v>208</v>
      </c>
      <c r="N10" s="77">
        <v>50</v>
      </c>
      <c r="O10" s="81">
        <f t="shared" si="1"/>
        <v>258</v>
      </c>
    </row>
    <row r="11" spans="1:15" ht="18" customHeight="1">
      <c r="A11" s="141">
        <v>4</v>
      </c>
      <c r="B11" s="142" t="s">
        <v>14</v>
      </c>
      <c r="C11" s="143">
        <v>196</v>
      </c>
      <c r="D11" s="144"/>
      <c r="E11" s="145"/>
      <c r="F11" s="146"/>
      <c r="G11" s="144"/>
      <c r="H11" s="145"/>
      <c r="I11" s="146"/>
      <c r="J11" s="147"/>
      <c r="K11" s="148"/>
      <c r="L11" s="149"/>
      <c r="M11" s="150">
        <f t="shared" si="0"/>
        <v>196</v>
      </c>
      <c r="N11" s="77">
        <v>40</v>
      </c>
      <c r="O11" s="81">
        <f t="shared" si="1"/>
        <v>236</v>
      </c>
    </row>
    <row r="12" spans="1:15" ht="18" customHeight="1">
      <c r="A12" s="141">
        <v>5</v>
      </c>
      <c r="B12" s="142" t="s">
        <v>20</v>
      </c>
      <c r="C12" s="143">
        <v>169</v>
      </c>
      <c r="D12" s="144"/>
      <c r="E12" s="145"/>
      <c r="F12" s="146"/>
      <c r="G12" s="144"/>
      <c r="H12" s="145"/>
      <c r="I12" s="146"/>
      <c r="J12" s="147"/>
      <c r="K12" s="148"/>
      <c r="L12" s="149"/>
      <c r="M12" s="150">
        <f t="shared" si="0"/>
        <v>169</v>
      </c>
      <c r="N12" s="77">
        <v>30</v>
      </c>
      <c r="O12" s="81">
        <f t="shared" si="1"/>
        <v>199</v>
      </c>
    </row>
    <row r="13" spans="1:15" ht="18" customHeight="1">
      <c r="A13" s="141">
        <v>6</v>
      </c>
      <c r="B13" s="142" t="s">
        <v>33</v>
      </c>
      <c r="C13" s="143">
        <v>146</v>
      </c>
      <c r="D13" s="144"/>
      <c r="E13" s="145"/>
      <c r="F13" s="146"/>
      <c r="G13" s="144"/>
      <c r="H13" s="145"/>
      <c r="I13" s="146"/>
      <c r="J13" s="147"/>
      <c r="K13" s="148"/>
      <c r="L13" s="149"/>
      <c r="M13" s="150">
        <f t="shared" si="0"/>
        <v>146</v>
      </c>
      <c r="N13" s="77">
        <v>20</v>
      </c>
      <c r="O13" s="81">
        <f t="shared" si="1"/>
        <v>166</v>
      </c>
    </row>
    <row r="14" spans="1:15" ht="18" customHeight="1">
      <c r="A14" s="141">
        <v>7</v>
      </c>
      <c r="B14" s="142" t="s">
        <v>22</v>
      </c>
      <c r="C14" s="143">
        <v>142</v>
      </c>
      <c r="D14" s="144"/>
      <c r="E14" s="145"/>
      <c r="F14" s="146"/>
      <c r="G14" s="144"/>
      <c r="H14" s="145"/>
      <c r="I14" s="146"/>
      <c r="J14" s="147"/>
      <c r="K14" s="148"/>
      <c r="L14" s="149"/>
      <c r="M14" s="150">
        <f t="shared" si="0"/>
        <v>142</v>
      </c>
      <c r="N14" s="77">
        <v>10</v>
      </c>
      <c r="O14" s="81">
        <f t="shared" si="1"/>
        <v>152</v>
      </c>
    </row>
    <row r="15" spans="1:15" ht="18" customHeight="1" thickBot="1">
      <c r="A15" s="141">
        <v>8</v>
      </c>
      <c r="B15" s="142" t="s">
        <v>18</v>
      </c>
      <c r="C15" s="143">
        <v>128</v>
      </c>
      <c r="D15" s="144"/>
      <c r="E15" s="145"/>
      <c r="F15" s="146"/>
      <c r="G15" s="144"/>
      <c r="H15" s="145"/>
      <c r="I15" s="146"/>
      <c r="J15" s="147"/>
      <c r="K15" s="148"/>
      <c r="L15" s="149"/>
      <c r="M15" s="150">
        <f t="shared" si="0"/>
        <v>128</v>
      </c>
      <c r="N15" s="78">
        <v>0</v>
      </c>
      <c r="O15" s="83">
        <f t="shared" si="1"/>
        <v>128</v>
      </c>
    </row>
    <row r="16" spans="1:13" ht="18" customHeight="1">
      <c r="A16" s="141">
        <v>9</v>
      </c>
      <c r="B16" s="142" t="s">
        <v>12</v>
      </c>
      <c r="C16" s="143">
        <v>113</v>
      </c>
      <c r="D16" s="144"/>
      <c r="E16" s="145"/>
      <c r="F16" s="146"/>
      <c r="G16" s="144"/>
      <c r="H16" s="145"/>
      <c r="I16" s="146"/>
      <c r="J16" s="147"/>
      <c r="K16" s="148"/>
      <c r="L16" s="149"/>
      <c r="M16" s="150">
        <f t="shared" si="0"/>
        <v>113</v>
      </c>
    </row>
    <row r="17" spans="1:13" ht="18" customHeight="1">
      <c r="A17" s="141">
        <v>10</v>
      </c>
      <c r="B17" s="142" t="s">
        <v>6</v>
      </c>
      <c r="C17" s="143">
        <v>90</v>
      </c>
      <c r="D17" s="144"/>
      <c r="E17" s="145"/>
      <c r="F17" s="146"/>
      <c r="G17" s="144"/>
      <c r="H17" s="145"/>
      <c r="I17" s="146"/>
      <c r="J17" s="147"/>
      <c r="K17" s="148"/>
      <c r="L17" s="149"/>
      <c r="M17" s="150">
        <f t="shared" si="0"/>
        <v>90</v>
      </c>
    </row>
    <row r="18" spans="1:13" ht="18" customHeight="1">
      <c r="A18" s="131">
        <v>11</v>
      </c>
      <c r="B18" s="142" t="s">
        <v>34</v>
      </c>
      <c r="C18" s="151">
        <v>89</v>
      </c>
      <c r="D18" s="152"/>
      <c r="E18" s="153"/>
      <c r="F18" s="154"/>
      <c r="G18" s="152"/>
      <c r="H18" s="153"/>
      <c r="I18" s="154"/>
      <c r="J18" s="155"/>
      <c r="K18" s="156"/>
      <c r="L18" s="157"/>
      <c r="M18" s="150">
        <f t="shared" si="0"/>
        <v>89</v>
      </c>
    </row>
    <row r="19" spans="1:13" ht="18" customHeight="1">
      <c r="A19" s="141">
        <v>12</v>
      </c>
      <c r="B19" s="142" t="s">
        <v>27</v>
      </c>
      <c r="C19" s="151">
        <v>75</v>
      </c>
      <c r="D19" s="152"/>
      <c r="E19" s="153"/>
      <c r="F19" s="154"/>
      <c r="G19" s="152"/>
      <c r="H19" s="153"/>
      <c r="I19" s="154"/>
      <c r="J19" s="155"/>
      <c r="K19" s="156"/>
      <c r="L19" s="157"/>
      <c r="M19" s="150">
        <f t="shared" si="0"/>
        <v>75</v>
      </c>
    </row>
    <row r="20" spans="1:13" ht="18" customHeight="1">
      <c r="A20" s="141">
        <v>13</v>
      </c>
      <c r="B20" s="150" t="s">
        <v>9</v>
      </c>
      <c r="C20" s="151">
        <v>67</v>
      </c>
      <c r="D20" s="152"/>
      <c r="E20" s="153"/>
      <c r="F20" s="154"/>
      <c r="G20" s="152"/>
      <c r="H20" s="153"/>
      <c r="I20" s="154"/>
      <c r="J20" s="155"/>
      <c r="K20" s="156"/>
      <c r="L20" s="157"/>
      <c r="M20" s="150">
        <f t="shared" si="0"/>
        <v>67</v>
      </c>
    </row>
    <row r="21" spans="1:13" ht="18" customHeight="1">
      <c r="A21" s="141">
        <v>14</v>
      </c>
      <c r="B21" s="142" t="s">
        <v>50</v>
      </c>
      <c r="C21" s="151">
        <v>51</v>
      </c>
      <c r="D21" s="152"/>
      <c r="E21" s="153"/>
      <c r="F21" s="154"/>
      <c r="G21" s="152"/>
      <c r="H21" s="153"/>
      <c r="I21" s="154"/>
      <c r="J21" s="155"/>
      <c r="K21" s="156"/>
      <c r="L21" s="157"/>
      <c r="M21" s="150">
        <f t="shared" si="0"/>
        <v>51</v>
      </c>
    </row>
    <row r="22" spans="1:13" ht="18" customHeight="1">
      <c r="A22" s="141">
        <v>15</v>
      </c>
      <c r="B22" s="150" t="s">
        <v>13</v>
      </c>
      <c r="C22" s="151">
        <v>40</v>
      </c>
      <c r="D22" s="152"/>
      <c r="E22" s="158"/>
      <c r="F22" s="159"/>
      <c r="G22" s="160"/>
      <c r="H22" s="158"/>
      <c r="I22" s="159"/>
      <c r="J22" s="161"/>
      <c r="K22" s="156"/>
      <c r="L22" s="157"/>
      <c r="M22" s="150">
        <f t="shared" si="0"/>
        <v>40</v>
      </c>
    </row>
    <row r="23" spans="1:13" ht="18" customHeight="1">
      <c r="A23" s="141">
        <v>16</v>
      </c>
      <c r="B23" s="150" t="s">
        <v>49</v>
      </c>
      <c r="C23" s="151">
        <v>38</v>
      </c>
      <c r="D23" s="152"/>
      <c r="E23" s="153"/>
      <c r="F23" s="154"/>
      <c r="G23" s="152"/>
      <c r="H23" s="153"/>
      <c r="I23" s="154"/>
      <c r="J23" s="155"/>
      <c r="K23" s="162"/>
      <c r="L23" s="163"/>
      <c r="M23" s="142">
        <f t="shared" si="0"/>
        <v>38</v>
      </c>
    </row>
    <row r="24" spans="1:13" ht="18" customHeight="1">
      <c r="A24" s="164">
        <v>17</v>
      </c>
      <c r="B24" s="150" t="s">
        <v>35</v>
      </c>
      <c r="C24" s="151">
        <v>24</v>
      </c>
      <c r="D24" s="152"/>
      <c r="E24" s="153"/>
      <c r="F24" s="154"/>
      <c r="G24" s="152"/>
      <c r="H24" s="153"/>
      <c r="I24" s="154"/>
      <c r="J24" s="155"/>
      <c r="K24" s="156"/>
      <c r="L24" s="157"/>
      <c r="M24" s="150">
        <f t="shared" si="0"/>
        <v>24</v>
      </c>
    </row>
    <row r="25" spans="1:13" ht="18" customHeight="1">
      <c r="A25" s="164">
        <v>18</v>
      </c>
      <c r="B25" s="165" t="s">
        <v>7</v>
      </c>
      <c r="C25" s="151">
        <v>19</v>
      </c>
      <c r="D25" s="152"/>
      <c r="E25" s="153"/>
      <c r="F25" s="154"/>
      <c r="G25" s="152"/>
      <c r="H25" s="153"/>
      <c r="I25" s="154"/>
      <c r="J25" s="155"/>
      <c r="K25" s="156"/>
      <c r="L25" s="157"/>
      <c r="M25" s="150">
        <f t="shared" si="0"/>
        <v>19</v>
      </c>
    </row>
    <row r="26" spans="1:13" ht="18" customHeight="1">
      <c r="A26" s="164">
        <v>19</v>
      </c>
      <c r="B26" s="166" t="s">
        <v>11</v>
      </c>
      <c r="C26" s="151">
        <v>18</v>
      </c>
      <c r="D26" s="152"/>
      <c r="E26" s="153"/>
      <c r="F26" s="154"/>
      <c r="G26" s="152"/>
      <c r="H26" s="153"/>
      <c r="I26" s="154"/>
      <c r="J26" s="155"/>
      <c r="K26" s="156"/>
      <c r="L26" s="157"/>
      <c r="M26" s="150">
        <f t="shared" si="0"/>
        <v>18</v>
      </c>
    </row>
    <row r="27" spans="1:15" s="72" customFormat="1" ht="18" customHeight="1">
      <c r="A27" s="167">
        <v>20</v>
      </c>
      <c r="B27" s="166" t="s">
        <v>4</v>
      </c>
      <c r="C27" s="168">
        <v>17</v>
      </c>
      <c r="D27" s="160"/>
      <c r="E27" s="153"/>
      <c r="F27" s="154"/>
      <c r="G27" s="152"/>
      <c r="H27" s="153"/>
      <c r="I27" s="154"/>
      <c r="J27" s="155"/>
      <c r="K27" s="156"/>
      <c r="L27" s="157"/>
      <c r="M27" s="150">
        <f t="shared" si="0"/>
        <v>17</v>
      </c>
      <c r="N27" s="79"/>
      <c r="O27" s="82"/>
    </row>
    <row r="28" spans="1:13" ht="18" customHeight="1">
      <c r="A28" s="164">
        <v>21</v>
      </c>
      <c r="B28" s="166" t="s">
        <v>53</v>
      </c>
      <c r="C28" s="151">
        <v>16</v>
      </c>
      <c r="D28" s="152"/>
      <c r="E28" s="153"/>
      <c r="F28" s="154"/>
      <c r="G28" s="152"/>
      <c r="H28" s="153"/>
      <c r="I28" s="154"/>
      <c r="J28" s="155"/>
      <c r="K28" s="156"/>
      <c r="L28" s="157"/>
      <c r="M28" s="150">
        <f t="shared" si="0"/>
        <v>16</v>
      </c>
    </row>
    <row r="29" spans="1:13" ht="18" customHeight="1">
      <c r="A29" s="164">
        <v>22</v>
      </c>
      <c r="B29" s="166" t="s">
        <v>54</v>
      </c>
      <c r="C29" s="151">
        <v>14</v>
      </c>
      <c r="D29" s="152"/>
      <c r="E29" s="153"/>
      <c r="F29" s="154"/>
      <c r="G29" s="152"/>
      <c r="H29" s="153"/>
      <c r="I29" s="154"/>
      <c r="J29" s="155"/>
      <c r="K29" s="156"/>
      <c r="L29" s="157"/>
      <c r="M29" s="150">
        <f t="shared" si="0"/>
        <v>14</v>
      </c>
    </row>
    <row r="30" spans="1:13" ht="18" customHeight="1">
      <c r="A30" s="164">
        <v>23</v>
      </c>
      <c r="B30" s="166" t="s">
        <v>51</v>
      </c>
      <c r="C30" s="151">
        <v>14</v>
      </c>
      <c r="D30" s="152"/>
      <c r="E30" s="153"/>
      <c r="F30" s="154"/>
      <c r="G30" s="152"/>
      <c r="H30" s="153"/>
      <c r="I30" s="154"/>
      <c r="J30" s="155"/>
      <c r="K30" s="156"/>
      <c r="L30" s="157"/>
      <c r="M30" s="150">
        <f t="shared" si="0"/>
        <v>14</v>
      </c>
    </row>
    <row r="31" spans="1:13" ht="18" customHeight="1">
      <c r="A31" s="164">
        <v>24</v>
      </c>
      <c r="B31" s="166" t="s">
        <v>52</v>
      </c>
      <c r="C31" s="151">
        <v>12</v>
      </c>
      <c r="D31" s="152"/>
      <c r="E31" s="153"/>
      <c r="F31" s="154"/>
      <c r="G31" s="152"/>
      <c r="H31" s="153"/>
      <c r="I31" s="154"/>
      <c r="J31" s="155"/>
      <c r="K31" s="156"/>
      <c r="L31" s="157"/>
      <c r="M31" s="150">
        <f t="shared" si="0"/>
        <v>12</v>
      </c>
    </row>
    <row r="32" spans="1:13" ht="18" customHeight="1">
      <c r="A32" s="164">
        <v>25</v>
      </c>
      <c r="B32" s="166" t="s">
        <v>57</v>
      </c>
      <c r="C32" s="151">
        <v>8</v>
      </c>
      <c r="D32" s="152"/>
      <c r="E32" s="153"/>
      <c r="F32" s="154"/>
      <c r="G32" s="152"/>
      <c r="H32" s="153"/>
      <c r="I32" s="154"/>
      <c r="J32" s="155"/>
      <c r="K32" s="156"/>
      <c r="L32" s="157"/>
      <c r="M32" s="150">
        <f t="shared" si="0"/>
        <v>8</v>
      </c>
    </row>
    <row r="33" spans="1:13" ht="18" customHeight="1">
      <c r="A33" s="164">
        <v>26</v>
      </c>
      <c r="B33" s="166" t="s">
        <v>48</v>
      </c>
      <c r="C33" s="151">
        <v>7</v>
      </c>
      <c r="D33" s="152"/>
      <c r="E33" s="153"/>
      <c r="F33" s="154"/>
      <c r="G33" s="152"/>
      <c r="H33" s="153"/>
      <c r="I33" s="154"/>
      <c r="J33" s="155"/>
      <c r="K33" s="156"/>
      <c r="L33" s="157"/>
      <c r="M33" s="150">
        <f t="shared" si="0"/>
        <v>7</v>
      </c>
    </row>
    <row r="34" spans="1:13" ht="18" customHeight="1">
      <c r="A34" s="164">
        <v>27</v>
      </c>
      <c r="B34" s="166" t="s">
        <v>36</v>
      </c>
      <c r="C34" s="151">
        <v>3</v>
      </c>
      <c r="D34" s="152"/>
      <c r="E34" s="153"/>
      <c r="F34" s="154"/>
      <c r="G34" s="152"/>
      <c r="H34" s="153"/>
      <c r="I34" s="154"/>
      <c r="J34" s="155"/>
      <c r="K34" s="156"/>
      <c r="L34" s="157"/>
      <c r="M34" s="150">
        <f t="shared" si="0"/>
        <v>3</v>
      </c>
    </row>
    <row r="35" spans="1:13" ht="21">
      <c r="A35" s="164">
        <v>28</v>
      </c>
      <c r="B35" s="166" t="s">
        <v>56</v>
      </c>
      <c r="C35" s="151">
        <v>2</v>
      </c>
      <c r="D35" s="152"/>
      <c r="E35" s="153"/>
      <c r="F35" s="154"/>
      <c r="G35" s="152"/>
      <c r="H35" s="153"/>
      <c r="I35" s="154"/>
      <c r="J35" s="155"/>
      <c r="K35" s="156"/>
      <c r="L35" s="157"/>
      <c r="M35" s="150">
        <f t="shared" si="0"/>
        <v>2</v>
      </c>
    </row>
    <row r="36" spans="1:13" ht="21.75" thickBot="1">
      <c r="A36" s="170">
        <v>29</v>
      </c>
      <c r="B36" s="171" t="s">
        <v>55</v>
      </c>
      <c r="C36" s="172">
        <v>1</v>
      </c>
      <c r="D36" s="173"/>
      <c r="E36" s="174"/>
      <c r="F36" s="175"/>
      <c r="G36" s="173"/>
      <c r="H36" s="174"/>
      <c r="I36" s="175"/>
      <c r="J36" s="176"/>
      <c r="K36" s="177"/>
      <c r="L36" s="178"/>
      <c r="M36" s="171">
        <f t="shared" si="0"/>
        <v>1</v>
      </c>
    </row>
  </sheetData>
  <sheetProtection/>
  <mergeCells count="4">
    <mergeCell ref="A1:M1"/>
    <mergeCell ref="A2:M2"/>
    <mergeCell ref="A3:M3"/>
    <mergeCell ref="A4:M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5.00390625" style="21" customWidth="1"/>
    <col min="2" max="2" width="37.140625" style="22" customWidth="1"/>
    <col min="3" max="4" width="12.140625" style="96" customWidth="1"/>
    <col min="5" max="5" width="12.8515625" style="93" customWidth="1"/>
    <col min="6" max="16384" width="9.140625" style="20" customWidth="1"/>
  </cols>
  <sheetData>
    <row r="1" spans="1:5" ht="21">
      <c r="A1" s="186" t="s">
        <v>47</v>
      </c>
      <c r="B1" s="186"/>
      <c r="C1" s="186"/>
      <c r="D1" s="186"/>
      <c r="E1" s="186"/>
    </row>
    <row r="2" spans="1:5" ht="21">
      <c r="A2" s="186" t="s">
        <v>21</v>
      </c>
      <c r="B2" s="186"/>
      <c r="C2" s="186"/>
      <c r="D2" s="186"/>
      <c r="E2" s="186"/>
    </row>
    <row r="3" spans="1:5" ht="17.25" customHeight="1">
      <c r="A3" s="186" t="s">
        <v>19</v>
      </c>
      <c r="B3" s="186"/>
      <c r="C3" s="186"/>
      <c r="D3" s="186"/>
      <c r="E3" s="186"/>
    </row>
    <row r="4" ht="19.5" thickBot="1">
      <c r="C4" s="97"/>
    </row>
    <row r="5" spans="1:5" s="23" customFormat="1" ht="20.25" customHeight="1" thickBot="1">
      <c r="A5" s="84" t="s">
        <v>1</v>
      </c>
      <c r="B5" s="85" t="s">
        <v>15</v>
      </c>
      <c r="C5" s="98" t="s">
        <v>44</v>
      </c>
      <c r="D5" s="98" t="s">
        <v>45</v>
      </c>
      <c r="E5" s="92" t="s">
        <v>46</v>
      </c>
    </row>
    <row r="6" spans="1:5" ht="25.5" customHeight="1">
      <c r="A6" s="86">
        <v>1</v>
      </c>
      <c r="B6" s="10"/>
      <c r="C6" s="99"/>
      <c r="D6" s="99">
        <v>70</v>
      </c>
      <c r="E6" s="87">
        <f>C6+D6</f>
        <v>70</v>
      </c>
    </row>
    <row r="7" spans="1:5" ht="25.5" customHeight="1">
      <c r="A7" s="88">
        <v>2</v>
      </c>
      <c r="B7" s="12"/>
      <c r="C7" s="100"/>
      <c r="D7" s="100">
        <v>60</v>
      </c>
      <c r="E7" s="94">
        <f aca="true" t="shared" si="0" ref="E7:E13">C7+D7</f>
        <v>60</v>
      </c>
    </row>
    <row r="8" spans="1:5" ht="25.5" customHeight="1">
      <c r="A8" s="86">
        <v>3</v>
      </c>
      <c r="B8" s="12"/>
      <c r="C8" s="100"/>
      <c r="D8" s="100">
        <v>50</v>
      </c>
      <c r="E8" s="94">
        <f t="shared" si="0"/>
        <v>50</v>
      </c>
    </row>
    <row r="9" spans="1:5" ht="25.5" customHeight="1">
      <c r="A9" s="88">
        <v>4</v>
      </c>
      <c r="B9" s="12"/>
      <c r="C9" s="100"/>
      <c r="D9" s="100">
        <v>40</v>
      </c>
      <c r="E9" s="94">
        <f t="shared" si="0"/>
        <v>40</v>
      </c>
    </row>
    <row r="10" spans="1:5" ht="25.5" customHeight="1">
      <c r="A10" s="86">
        <v>5</v>
      </c>
      <c r="B10" s="12"/>
      <c r="C10" s="100"/>
      <c r="D10" s="100">
        <v>30</v>
      </c>
      <c r="E10" s="94">
        <f t="shared" si="0"/>
        <v>30</v>
      </c>
    </row>
    <row r="11" spans="1:5" ht="25.5" customHeight="1">
      <c r="A11" s="88">
        <v>6</v>
      </c>
      <c r="B11" s="12"/>
      <c r="C11" s="100"/>
      <c r="D11" s="100">
        <v>20</v>
      </c>
      <c r="E11" s="94">
        <f t="shared" si="0"/>
        <v>20</v>
      </c>
    </row>
    <row r="12" spans="1:5" ht="25.5" customHeight="1">
      <c r="A12" s="86">
        <v>7</v>
      </c>
      <c r="C12" s="100"/>
      <c r="D12" s="100">
        <v>10</v>
      </c>
      <c r="E12" s="94">
        <f t="shared" si="0"/>
        <v>10</v>
      </c>
    </row>
    <row r="13" spans="1:5" ht="25.5" customHeight="1" thickBot="1">
      <c r="A13" s="89">
        <v>8</v>
      </c>
      <c r="B13" s="16"/>
      <c r="C13" s="101"/>
      <c r="D13" s="101">
        <v>0</v>
      </c>
      <c r="E13" s="95">
        <f t="shared" si="0"/>
        <v>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2016-10-06T02:39:59Z</dcterms:modified>
  <cp:category/>
  <cp:version/>
  <cp:contentType/>
  <cp:contentStatus/>
</cp:coreProperties>
</file>